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Setor de Compras\Desktop\"/>
    </mc:Choice>
  </mc:AlternateContent>
  <bookViews>
    <workbookView xWindow="0" yWindow="0" windowWidth="21570" windowHeight="7920" tabRatio="801" firstSheet="1" activeTab="10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BM!$C$15:$C$58</definedName>
    <definedName name="_xlnm._FilterDatabase" localSheetId="5" hidden="1">CÁLCULO!$C$15:$C$58</definedName>
    <definedName name="_xlnm._FilterDatabase" localSheetId="7" hidden="1">CRONO!$F$13:$F$57</definedName>
    <definedName name="_xlnm._FilterDatabase" localSheetId="8" hidden="1">CRONOPLE!$A$13:$A$15</definedName>
    <definedName name="_xlnm._FilterDatabase" localSheetId="4" hidden="1">ORÇAMENTO!$L$15:$L$58</definedName>
    <definedName name="_xlnm._FilterDatabase" localSheetId="9" hidden="1">PLE!$A$13:$A$38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BDI!$J$1:$S$53</definedName>
    <definedName name="_xlnm.Print_Area" localSheetId="11">BM!$D$1:$O$73</definedName>
    <definedName name="_xlnm.Print_Area" localSheetId="5">CÁLCULO!$E$1:$AB$66</definedName>
    <definedName name="_xlnm.Print_Area" localSheetId="7">CRONO!$H$1:$AF$57</definedName>
    <definedName name="_xlnm.Print_Area" localSheetId="0">MENU!$A$1:$I$25</definedName>
    <definedName name="_xlnm.Print_Area" localSheetId="13">OFÍCIO!$A$1:$G$56</definedName>
    <definedName name="_xlnm.Print_Area" localSheetId="4">ORÇAMENTO!$O$1:$Y$75</definedName>
    <definedName name="_xlnm.Print_Area" localSheetId="9">PLE!$B$3:$AG$39</definedName>
    <definedName name="_xlnm.Print_Area" localSheetId="10">QCI!$D$1:$O$28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BM!$C$15:$C$58</definedName>
    <definedName name="BM.firstrow" hidden="1">BM!$15:$15</definedName>
    <definedName name="BM.FormulaMed" hidden="1">BM!$AO$7</definedName>
    <definedName name="BM.lastrow" hidden="1">BM!$58:$58</definedName>
    <definedName name="BM.LinhaPadrão" hidden="1">BM!$14:$14</definedName>
    <definedName name="BM.MaxMed" hidden="1">IF(RegimeExecucao="Global",1,BM!$G1)</definedName>
    <definedName name="BM.MCAIXA.Filter" hidden="1">BM!$C$15:$Z$58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CÁLCULO!$C$15:$C$58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CÁLCULO!$AI:$AI</definedName>
    <definedName name="CÁLCULO.lastrow" hidden="1">CÁLCULO!$58:$58</definedName>
    <definedName name="CÁLCULO.LinhaPadrão" hidden="1">CÁLCULO!$14:$14</definedName>
    <definedName name="CÁLCULO.margemrow" hidden="1">CÁLCULO!$66:$66</definedName>
    <definedName name="CÁLCULO.MATRIZ1.ColunaPadrão" hidden="1">CÁLCULO!$AK:$AK</definedName>
    <definedName name="CÁLCULO.MATRIZ1.firstcol" hidden="1">CÁLCULO!$AI:$AI</definedName>
    <definedName name="CÁLCULO.MATRIZ1.lastcol" hidden="1">CÁLCULO!$BB:$BB</definedName>
    <definedName name="CÁLCULO.MATRIZ1.lastrow" hidden="1">CÁLCULO!$58:$58</definedName>
    <definedName name="CÁLCULO.MATRIZ2.ColunaPadrão" hidden="1">CÁLCULO!$BD:$BD</definedName>
    <definedName name="CÁLCULO.MATRIZ2.firstcol" hidden="1">CÁLCULO!$BB:$BB</definedName>
    <definedName name="CÁLCULO.MATRIZ2.lastcol" hidden="1">CÁLCULO!$BU:$BU</definedName>
    <definedName name="CÁLCULO.MATRIZ2.lastrow" hidden="1">CÁLCULO!$58:$58</definedName>
    <definedName name="CÁLCULO.MATRIZ3.ColunaPadrão" hidden="1">CÁLCULO!$BW:$BW</definedName>
    <definedName name="CÁLCULO.MATRIZ3.firstcol" hidden="1">CÁLCULO!$BU:$BU</definedName>
    <definedName name="CÁLCULO.MATRIZ3.lastcol" hidden="1">CÁLCULO!$CN:$CN</definedName>
    <definedName name="CÁLCULO.MATRIZ3.lastrow" hidden="1">CÁLCULO!$58:$58</definedName>
    <definedName name="CÁLCULO.NúmeroDeEventos" hidden="1">IF(AUTOEVENTO&lt;&gt;"manual",MAX(CÁLCULO!$M$15:$M$58),MAX(OFFSET(EVENTOS!$C$14:$C$24,1,0)))</definedName>
    <definedName name="CÁLCULO.NúmeroDeFrentes" hidden="1">COLUMN(CÁLCULO!$AI$15)-COLUMN(CÁLCULO!$Q$15)</definedName>
    <definedName name="CÁLCULO.TotalAdmLocal" hidden="1">IF(AUTOEVENTO="manual",SUMIF(CÁLCULO!$M$15:$M$58,1,ORÇAMENTO!$X$15:$X$58),0)</definedName>
    <definedName name="CRONO.ColunaPadrão" hidden="1">CRONO!$D:$D</definedName>
    <definedName name="CRONO.Filtro" hidden="1">CRONO!$F$13:$F$57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CRONO!$52:$52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CRONO!$57:$57</definedName>
    <definedName name="CRONO.MaxParc" hidden="1">CRONO!$G1048576+CRONO!A1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CRONOPLE!$24:$24</definedName>
    <definedName name="CRONOPLE.LinhaPadrão" hidden="1">CRONOPLE!$1:$1</definedName>
    <definedName name="CRONOPLE.margemrow" hidden="1">CRONOPLE!$25:$25</definedName>
    <definedName name="CRONOPLE.ValorDoEvento" hidden="1">SUMIF(CÁLCULO!$M$15:$M$58,CRONOPLE!$B1,OFFSET(CÁLCULO!$AI$15:$AI$58,0,CRONOPLE!A$12))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EVENTOS!$24:$24</definedName>
    <definedName name="EVENTOS.LinhaPadrão" hidden="1">EVENTOS!$14:$14</definedName>
    <definedName name="EVENTOS.Lista" hidden="1">EVENTOS!$C$15:OFFSET(EVENTOS!$C$24,-1,0)</definedName>
    <definedName name="EVENTOS.ListaValidacao" hidden="1">EVENTOS!$B$15:OFFSET(EVENTOS!$B$24,-1,0)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BM!$D$61</definedName>
    <definedName name="Import.BMAFAcumulado" hidden="1">OFFSET(BM!$R$15,1,0):OFFSET(BM!$R$58,-1,0)</definedName>
    <definedName name="Import.BMArred" hidden="1">BM!$A$9</definedName>
    <definedName name="Import.CNPJ" hidden="1">DADOS!$F$39</definedName>
    <definedName name="Import.Código" hidden="1">OFFSET(ORÇAMENTO!$Q$15,1,0):OFFSET(ORÇAMENTO!$Q$58,-1,0)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OFFSET(CRONOPLE!$F$15,1,1):OFFSET(CRONOPLE!$AF$24,-1,-1)</definedName>
    <definedName name="Import.CTEF" hidden="1">DADOS!$F$37</definedName>
    <definedName name="Import.CustoUnitário" hidden="1">OFFSET(ORÇAMENTO!$U$15,1,0):OFFSET(ORÇAMENTO!$U$58,-1,0)</definedName>
    <definedName name="Import.DataBase" hidden="1">OFFSET(DADOS!$G$19,0,-1)</definedName>
    <definedName name="Import.DataBaseLicit" hidden="1">OFFSET(DADOS!$G$41,0,-1)</definedName>
    <definedName name="Import.DataEmissaoLicit" hidden="1">DADOS!$F$36</definedName>
    <definedName name="Import.DataInicioObra" hidden="1">DADOS!$F$47</definedName>
    <definedName name="Import.DescLote" hidden="1">DADOS!$F$17</definedName>
    <definedName name="Import.Descrição" hidden="1">OFFSET(ORÇAMENTO!$R$15,1,0):OFFSET(ORÇAMENTO!$R$58,-1,0)</definedName>
    <definedName name="Import.Desoneracao" hidden="1">OFFSET(DADOS!$G$18,0,-1)</definedName>
    <definedName name="Import.empresa" hidden="1">DADOS!$F$38</definedName>
    <definedName name="Import.Eventos.Nível" hidden="1">EVENTOS!$C$6</definedName>
    <definedName name="Import.Eventos.Nomes" hidden="1">OFFSET(EVENTOS!$D$15,1,0):OFFSET(EVENTOS!$D$24,-1,0)</definedName>
    <definedName name="Import.Fonte" hidden="1">OFFSET(ORÇAMENTO!$P$15,1,0):OFFSET(ORÇAMENTO!$P$58,-1,0)</definedName>
    <definedName name="Import.FrenteDeObra" hidden="1">CÁLCULO!$Q$12:OFFSET(CÁLCULO!$AI$12,0,-1)</definedName>
    <definedName name="Import.Município" hidden="1">DADOS!$F$6</definedName>
    <definedName name="Import.Nível" hidden="1">OFFSET(ORÇAMENTO!$M$15,1,0):OFFSET(ORÇAMENTO!$M$58,-1,0)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OFFSET(ORÇAMENTO!$V$15,1,0):OFFSET(ORÇAMENTO!$V$58,-1,0)</definedName>
    <definedName name="Import.ORÇAMENTO.DivRecurso" hidden="1">OFFSET(ORÇAMENTO!$Y$15,1,0):OFFSET(ORÇAMENTO!$Y$58,-1,0)</definedName>
    <definedName name="Import.ORÇAMENTO.Obs" hidden="1">ORÇAMENTO!$O$64</definedName>
    <definedName name="Import.PLE" hidden="1">OFFSET(PLE!$G$15,1,1):OFFSET(PLE!$AG$24,-1,-1)</definedName>
    <definedName name="Import.PLE.Datas" hidden="1">PLE!$I$27:$AF$27</definedName>
    <definedName name="Import.PLQ" hidden="1">OFFSET(CÁLCULO!$P$15,1,1):OFFSET(CÁLCULO!$AI$58,-1,-1)</definedName>
    <definedName name="Import.PLQ.MemCalc" hidden="1">OFFSET(CÁLCULO!$I$15,1,0):OFFSET(CÁLCULO!$I$58,-1,0)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OFFSET(ORÇAMENTO!$AJ$15,1,0):OFFSET(ORÇAMENTO!$AJ$58,-1,0)</definedName>
    <definedName name="import.recurso" hidden="1">DADOS!$F$4</definedName>
    <definedName name="Import.RegimeExecução" hidden="1">OFFSET(DADOS!$G$40,0,-1)</definedName>
    <definedName name="Import.Repasse" hidden="1">DADOS!$F$9</definedName>
    <definedName name="Import.RespFiscalização" hidden="1">DADOS!$F$51:$F$54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TipoArredondamento" hidden="1">DADOS!$F$31</definedName>
    <definedName name="Import.TransfereGOV" hidden="1">DADOS!$F$8</definedName>
    <definedName name="Import.Unidade" hidden="1">OFFSET(ORÇAMENTO!$S$15,1,0):OFFSET(ORÇAMENTO!$S$58,-1,0)</definedName>
    <definedName name="Import.UnitarioLicitado" hidden="1">OFFSET(ORÇAMENTO!$AL$15,1,0):OFFSET(ORÇAMENTO!$AL$58,-1,0)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ORÇAMENTO!$L$15:$L$58</definedName>
    <definedName name="ORÇAMENTO.firstrow" hidden="1">ORÇAMENTO!$15:$15</definedName>
    <definedName name="ORÇAMENTO.Fonte" hidden="1">ORÇAMENTO!$P1</definedName>
    <definedName name="ORÇAMENTO.lastrow" hidden="1">ORÇAMENTO!$58:$58</definedName>
    <definedName name="ORÇAMENTO.LinhaPadrão" hidden="1">ORÇAMENTO!$14:$14</definedName>
    <definedName name="ORÇAMENTO.ListaCrono" hidden="1">OFFSET(ORÇAMENTO!$AD$15,1,0):OFFSET(ORÇAMENTO!$AD$58,-1,0)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OFFSET(ORÇAMENTO!$P$15,1,0):OFFSET(ORÇAMENTO!$S$58,-1,0)</definedName>
    <definedName name="ORÇAMENTO.PasteFormat2" hidden="1">OFFSET(ORÇAMENTO!$U$15,1,0):OFFSET(ORÇAMENTO!$V$58,-1,0)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OFFSET(ORÇAMENTO!$T$15,1,0):OFFSET(ORÇAMENTO!$T$58,-1,0)</definedName>
    <definedName name="ORÇAMENTO.SumCPMANUAL" hidden="1">SUMIF(ORÇAMENTO!$Z$15:$Z$58,"CP",ORÇAMENTO!$AA$15:$AA$58)</definedName>
    <definedName name="ORÇAMENTO.SumINVMANUAL" hidden="1">SUMIF(ORÇAMENTO!$Z$15:$Z$58,"RP",ORÇAMENTO!$X$15:$X$58)+SUMIF(ORÇAMENTO!$Z$15:$Z$58,"CP",ORÇAMENTO!$X$15:$X$58)+SUMIF(ORÇAMENTO!$Z$15:$Z$58,"OU",ORÇAMENTO!$X$15:$X$58)</definedName>
    <definedName name="ORÇAMENTO.SumOUTROSMANUAL" hidden="1">SUMIF(ORÇAMENTO!$Z$15:$Z$58,"OU",ORÇAMENTO!$AB$15:$AB$58)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PLE!$A$13:$A$38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PLE!$24:$24</definedName>
    <definedName name="PLE.LinhaPadrão" hidden="1">PLE!$1:$1</definedName>
    <definedName name="PLE.margemrow" hidden="1">PLE!$39:$39</definedName>
    <definedName name="PLE.Medicao" hidden="1">PLE!$J$9</definedName>
    <definedName name="PLE.MEDIÇÕES.firstrow" hidden="1">PLE!$25:$25</definedName>
    <definedName name="PLE.MEDIÇÕES.lastrow" hidden="1">PLE!$33:$33</definedName>
    <definedName name="PLE.MEDIÇÕES.LinhaPadrão" hidden="1">PLE!$25:$32</definedName>
    <definedName name="PLE.ValorDoEvento" hidden="1">SUMIF(CÁLCULO!$M$15:$M$58,PLE!$B1,OFFSET(CÁLCULO!$AI$15:$AI$58,0,PLE!A$12))</definedName>
    <definedName name="PO.ValoresBDI" hidden="1">OFFSET(ORÇAMENTO!$AH$15,1,0):OFFSET(ORÇAMENTO!$AH$58,-1,0)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3">BDI!$1:$13</definedName>
    <definedName name="_xlnm.Print_Titles" localSheetId="11">BM!$1:$15</definedName>
    <definedName name="_xlnm.Print_Titles" localSheetId="5">CÁLCULO!$E:$H,CÁLCULO!$1:$15</definedName>
    <definedName name="_xlnm.Print_Titles" localSheetId="7">CRONO!$H:$S,CRONO!$1:$13</definedName>
    <definedName name="_xlnm.Print_Titles" localSheetId="4">ORÇAMENTO!$1:$15</definedName>
    <definedName name="_xlnm.Print_Titles" localSheetId="9">PLE!$B:$E,PLE!$1:$13</definedName>
    <definedName name="_xlnm.Print_Titles" localSheetId="10">QCI!$1:$13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IF(BM!$I1=0,0,CHOOSE(MATCH(RegimeExecucao,{"Global","Unitário"},0),ROUND(ROUND(BM!XFB1,15-13*BM!$A$9)/100*BM!$I1,15-13*ORÇAMENTO!$AF$11),ROUND(ROUND(BM!XFB1,15-13*BM!$A$9)*ROUND(BM!$H1,15-13*ORÇAMENTO!$AF$10),15-13*ORÇAMENTO!$AF$11)))</definedName>
    <definedName name="VTOTALMED" hidden="1">BM!$P$14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7" i="5" l="1"/>
  <c r="A56" i="5"/>
  <c r="A55" i="5"/>
  <c r="A54" i="5"/>
  <c r="A53" i="5"/>
  <c r="A52" i="5"/>
  <c r="A51" i="5"/>
  <c r="A50" i="5"/>
  <c r="A49" i="5"/>
  <c r="AB34" i="6" l="1"/>
  <c r="AA34" i="6"/>
  <c r="Z34" i="6"/>
  <c r="Y34" i="6"/>
  <c r="X34" i="6"/>
  <c r="W34" i="6"/>
  <c r="V34" i="6"/>
  <c r="U34" i="6"/>
  <c r="T34" i="6"/>
  <c r="AB23" i="6"/>
  <c r="AA23" i="6"/>
  <c r="Z23" i="6"/>
  <c r="Y23" i="6"/>
  <c r="X23" i="6"/>
  <c r="W23" i="6"/>
  <c r="V23" i="6"/>
  <c r="U23" i="6"/>
  <c r="T23" i="6"/>
  <c r="A27" i="5" l="1"/>
  <c r="A29" i="5" l="1"/>
  <c r="R34" i="6"/>
  <c r="S34" i="6"/>
  <c r="Q34" i="6"/>
  <c r="R23" i="6"/>
  <c r="S23" i="6"/>
  <c r="Q23" i="6"/>
  <c r="CM15" i="6"/>
  <c r="CL15" i="6"/>
  <c r="CK15" i="6"/>
  <c r="CJ15" i="6"/>
  <c r="CI15" i="6"/>
  <c r="CH15" i="6"/>
  <c r="CG15" i="6"/>
  <c r="CF15" i="6"/>
  <c r="BT15" i="6"/>
  <c r="BS15" i="6"/>
  <c r="BR15" i="6"/>
  <c r="BQ15" i="6"/>
  <c r="BP15" i="6"/>
  <c r="BO15" i="6"/>
  <c r="BN15" i="6"/>
  <c r="BM15" i="6"/>
  <c r="AB64" i="6" a="1"/>
  <c r="AB64" i="6" s="1"/>
  <c r="AB6" i="6"/>
  <c r="AC5" i="6"/>
  <c r="AA5" i="6"/>
  <c r="AB65" i="6" l="1"/>
  <c r="AB66" i="6"/>
  <c r="AO14" i="13" l="1"/>
  <c r="AN14" i="13"/>
  <c r="AM14" i="13"/>
  <c r="AL14" i="13"/>
  <c r="AK14" i="13"/>
  <c r="AJ14" i="13"/>
  <c r="G14" i="13"/>
  <c r="J14" i="11"/>
  <c r="I14" i="13" s="1"/>
  <c r="D14" i="11"/>
  <c r="E14" i="13" s="1"/>
  <c r="A14" i="8"/>
  <c r="A17" i="8" s="1"/>
  <c r="A20" i="8" s="1"/>
  <c r="B16" i="10"/>
  <c r="B17" i="10" s="1"/>
  <c r="B18" i="10" s="1"/>
  <c r="B16" i="9"/>
  <c r="B17" i="9" s="1"/>
  <c r="B18" i="9" s="1"/>
  <c r="B19" i="9" s="1"/>
  <c r="B20" i="9" s="1"/>
  <c r="C16" i="7"/>
  <c r="B16" i="7" s="1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8" i="5"/>
  <c r="A26" i="5"/>
  <c r="A25" i="5"/>
  <c r="A24" i="5"/>
  <c r="A23" i="5"/>
  <c r="A22" i="5"/>
  <c r="A21" i="5"/>
  <c r="A20" i="5"/>
  <c r="A19" i="5"/>
  <c r="A18" i="5"/>
  <c r="A17" i="5"/>
  <c r="C16" i="5"/>
  <c r="N16" i="5" s="1"/>
  <c r="A16" i="5"/>
  <c r="P7" i="13"/>
  <c r="E28" i="14" s="1"/>
  <c r="C15" i="14"/>
  <c r="L4" i="13"/>
  <c r="I5" i="12"/>
  <c r="F4" i="11"/>
  <c r="D7" i="10"/>
  <c r="J8" i="8"/>
  <c r="L5" i="4"/>
  <c r="C14" i="15"/>
  <c r="C52" i="3"/>
  <c r="G5" i="6" a="1"/>
  <c r="G5" i="6" s="1"/>
  <c r="Q5" i="5" a="1"/>
  <c r="Q5" i="5" s="1"/>
  <c r="F9" i="5"/>
  <c r="F8" i="5"/>
  <c r="F25" i="2"/>
  <c r="P85" i="4" s="1"/>
  <c r="C51" i="3"/>
  <c r="C47" i="3"/>
  <c r="C43" i="3"/>
  <c r="C41" i="3"/>
  <c r="C39" i="3"/>
  <c r="S108" i="4"/>
  <c r="S68" i="4"/>
  <c r="S28" i="4"/>
  <c r="E2" i="15"/>
  <c r="C34" i="3"/>
  <c r="C32" i="3"/>
  <c r="Q13" i="6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12" i="6"/>
  <c r="BV13" i="6"/>
  <c r="BW13" i="6" s="1"/>
  <c r="BX13" i="6" s="1"/>
  <c r="AJ13" i="6"/>
  <c r="AJ12" i="6" s="1"/>
  <c r="BC13" i="6"/>
  <c r="BC12" i="6" s="1"/>
  <c r="H12" i="10"/>
  <c r="H11" i="10" s="1"/>
  <c r="S27" i="4"/>
  <c r="S29" i="4" s="1"/>
  <c r="CE15" i="6"/>
  <c r="CD15" i="6"/>
  <c r="CC15" i="6"/>
  <c r="CB15" i="6"/>
  <c r="CA15" i="6"/>
  <c r="BZ15" i="6"/>
  <c r="BY15" i="6"/>
  <c r="BX15" i="6"/>
  <c r="BW15" i="6"/>
  <c r="BV15" i="6"/>
  <c r="I28" i="10"/>
  <c r="N9" i="10"/>
  <c r="G12" i="9"/>
  <c r="G11" i="9" s="1"/>
  <c r="C20" i="3"/>
  <c r="C22" i="3"/>
  <c r="C24" i="3"/>
  <c r="C26" i="3"/>
  <c r="C28" i="3"/>
  <c r="C19" i="3"/>
  <c r="C15" i="3"/>
  <c r="C14" i="3"/>
  <c r="C12" i="3"/>
  <c r="I27" i="11"/>
  <c r="I26" i="11"/>
  <c r="Z55" i="8" a="1"/>
  <c r="T64" i="6" a="1"/>
  <c r="T66" i="6" s="1"/>
  <c r="I64" i="6" a="1"/>
  <c r="I65" i="6" s="1"/>
  <c r="AB13" i="12"/>
  <c r="AC13" i="12" s="1"/>
  <c r="AD13" i="12" s="1"/>
  <c r="AE13" i="12" s="1"/>
  <c r="AF13" i="12" s="1"/>
  <c r="AG13" i="12" s="1"/>
  <c r="AH13" i="12" s="1"/>
  <c r="AI13" i="12" s="1"/>
  <c r="AJ13" i="12" s="1"/>
  <c r="AK13" i="12" s="1"/>
  <c r="AL13" i="12" s="1"/>
  <c r="AM13" i="12" s="1"/>
  <c r="C2" i="4"/>
  <c r="Z7" i="11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2" i="8"/>
  <c r="C11" i="10"/>
  <c r="A14" i="5"/>
  <c r="C14" i="5" s="1"/>
  <c r="B14" i="6" s="1"/>
  <c r="BL15" i="6"/>
  <c r="BK15" i="6"/>
  <c r="BJ15" i="6"/>
  <c r="BI15" i="6"/>
  <c r="BH15" i="6"/>
  <c r="BG15" i="6"/>
  <c r="BF15" i="6"/>
  <c r="BE15" i="6"/>
  <c r="BD15" i="6"/>
  <c r="BC15" i="6"/>
  <c r="D12" i="11"/>
  <c r="A12" i="11" s="1"/>
  <c r="L30" i="13"/>
  <c r="F48" i="2"/>
  <c r="S107" i="4"/>
  <c r="S109" i="4" s="1"/>
  <c r="I95" i="4" s="1"/>
  <c r="S67" i="4"/>
  <c r="S69" i="4" s="1"/>
  <c r="I92" i="4" s="1"/>
  <c r="C8" i="4"/>
  <c r="C9" i="4"/>
  <c r="C10" i="4"/>
  <c r="C11" i="4"/>
  <c r="C12" i="4"/>
  <c r="C13" i="4"/>
  <c r="L37" i="13"/>
  <c r="A1" i="8"/>
  <c r="C10" i="15"/>
  <c r="G22" i="15"/>
  <c r="C22" i="15"/>
  <c r="E24" i="15"/>
  <c r="E22" i="15"/>
  <c r="G18" i="15"/>
  <c r="E18" i="15"/>
  <c r="C18" i="15"/>
  <c r="C12" i="15"/>
  <c r="E12" i="15"/>
  <c r="G10" i="15"/>
  <c r="E10" i="15"/>
  <c r="B20" i="15"/>
  <c r="B16" i="15"/>
  <c r="B8" i="15"/>
  <c r="Q8" i="5"/>
  <c r="O1" i="4"/>
  <c r="A3" i="4"/>
  <c r="C3" i="4" s="1"/>
  <c r="J5" i="4"/>
  <c r="N5" i="4"/>
  <c r="J8" i="4"/>
  <c r="C14" i="4"/>
  <c r="A15" i="4"/>
  <c r="C15" i="4" s="1"/>
  <c r="A16" i="4"/>
  <c r="C20" i="4"/>
  <c r="A21" i="4"/>
  <c r="A22" i="4" s="1"/>
  <c r="A23" i="4" s="1"/>
  <c r="A24" i="4" s="1"/>
  <c r="A25" i="4" s="1"/>
  <c r="C25" i="4" s="1"/>
  <c r="J21" i="4"/>
  <c r="R21" i="4"/>
  <c r="J22" i="4"/>
  <c r="R22" i="4"/>
  <c r="J23" i="4"/>
  <c r="R23" i="4"/>
  <c r="J24" i="4"/>
  <c r="R24" i="4"/>
  <c r="J25" i="4"/>
  <c r="R25" i="4"/>
  <c r="C26" i="4"/>
  <c r="A27" i="4"/>
  <c r="C32" i="4"/>
  <c r="A33" i="4"/>
  <c r="A34" i="4" s="1"/>
  <c r="A35" i="4" s="1"/>
  <c r="N35" i="4"/>
  <c r="C38" i="4"/>
  <c r="C39" i="4"/>
  <c r="C40" i="4"/>
  <c r="C41" i="4"/>
  <c r="C42" i="4"/>
  <c r="C43" i="4"/>
  <c r="C44" i="4"/>
  <c r="J38" i="4"/>
  <c r="A45" i="4"/>
  <c r="J40" i="4"/>
  <c r="J45" i="4"/>
  <c r="K50" i="4" a="1"/>
  <c r="K52" i="4" s="1"/>
  <c r="J61" i="4"/>
  <c r="R61" i="4"/>
  <c r="J62" i="4"/>
  <c r="R62" i="4"/>
  <c r="J63" i="4"/>
  <c r="R63" i="4"/>
  <c r="J64" i="4"/>
  <c r="R64" i="4"/>
  <c r="J65" i="4"/>
  <c r="R65" i="4"/>
  <c r="N75" i="4"/>
  <c r="J78" i="4"/>
  <c r="J80" i="4"/>
  <c r="J85" i="4"/>
  <c r="K90" i="4" a="1"/>
  <c r="K92" i="4" s="1"/>
  <c r="J101" i="4"/>
  <c r="R101" i="4"/>
  <c r="J102" i="4"/>
  <c r="R102" i="4"/>
  <c r="J103" i="4"/>
  <c r="R103" i="4"/>
  <c r="J104" i="4"/>
  <c r="R104" i="4"/>
  <c r="J105" i="4"/>
  <c r="R105" i="4"/>
  <c r="N115" i="4"/>
  <c r="J118" i="4"/>
  <c r="J120" i="4"/>
  <c r="J125" i="4"/>
  <c r="K130" i="4" a="1"/>
  <c r="K131" i="4" s="1"/>
  <c r="E2" i="12"/>
  <c r="E1" i="12"/>
  <c r="D5" i="12"/>
  <c r="F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D15" i="12"/>
  <c r="AB15" i="12"/>
  <c r="D67" i="12"/>
  <c r="E68" i="12"/>
  <c r="K70" i="12" a="1"/>
  <c r="K72" i="12" s="1"/>
  <c r="F1" i="6"/>
  <c r="F2" i="6"/>
  <c r="E5" i="6"/>
  <c r="I5" i="6"/>
  <c r="K5" i="6"/>
  <c r="S5" i="6"/>
  <c r="U5" i="6"/>
  <c r="O13" i="6"/>
  <c r="O15" i="6" s="1"/>
  <c r="B15" i="6"/>
  <c r="C15" i="6"/>
  <c r="D15" i="6"/>
  <c r="E15" i="6"/>
  <c r="B58" i="6"/>
  <c r="C58" i="6"/>
  <c r="F62" i="6"/>
  <c r="R4" i="8"/>
  <c r="R5" i="8"/>
  <c r="Y7" i="8"/>
  <c r="AE7" i="8"/>
  <c r="H8" i="8"/>
  <c r="K8" i="8"/>
  <c r="T8" i="8"/>
  <c r="Y8" i="8"/>
  <c r="AE8" i="8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S43" i="8"/>
  <c r="S48" i="8"/>
  <c r="H53" i="8"/>
  <c r="B1" i="9"/>
  <c r="E12" i="9"/>
  <c r="E11" i="9" s="1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C9" i="7"/>
  <c r="C14" i="7"/>
  <c r="B14" i="7" s="1"/>
  <c r="B15" i="7"/>
  <c r="C8" i="3"/>
  <c r="C9" i="3"/>
  <c r="C18" i="14"/>
  <c r="C19" i="14"/>
  <c r="B22" i="14"/>
  <c r="B24" i="14"/>
  <c r="B30" i="14"/>
  <c r="B54" i="14"/>
  <c r="B55" i="14"/>
  <c r="R2" i="5"/>
  <c r="O5" i="5"/>
  <c r="R5" i="5"/>
  <c r="S5" i="5"/>
  <c r="O68" i="5"/>
  <c r="R7" i="5"/>
  <c r="S7" i="5"/>
  <c r="V7" i="5"/>
  <c r="W7" i="5"/>
  <c r="X7" i="5"/>
  <c r="R8" i="5"/>
  <c r="S8" i="5"/>
  <c r="U13" i="5"/>
  <c r="V13" i="5"/>
  <c r="AH13" i="5"/>
  <c r="M15" i="5"/>
  <c r="N15" i="5"/>
  <c r="O15" i="5"/>
  <c r="O71" i="5"/>
  <c r="T73" i="5" a="1"/>
  <c r="T73" i="5" s="1"/>
  <c r="B1" i="10"/>
  <c r="H4" i="10"/>
  <c r="V6" i="10"/>
  <c r="AE6" i="10"/>
  <c r="B7" i="10"/>
  <c r="H7" i="10"/>
  <c r="O7" i="10"/>
  <c r="V7" i="10"/>
  <c r="AE7" i="10"/>
  <c r="F12" i="10"/>
  <c r="F11" i="10" s="1"/>
  <c r="B34" i="10"/>
  <c r="W36" i="10" a="1"/>
  <c r="W37" i="10" s="1"/>
  <c r="D4" i="11"/>
  <c r="G4" i="11"/>
  <c r="J4" i="11"/>
  <c r="M6" i="11"/>
  <c r="D7" i="11"/>
  <c r="L7" i="11"/>
  <c r="M7" i="11"/>
  <c r="N7" i="11"/>
  <c r="O7" i="11" s="1"/>
  <c r="J12" i="11"/>
  <c r="I12" i="13" s="1"/>
  <c r="L13" i="11"/>
  <c r="L9" i="11" s="1"/>
  <c r="D24" i="11"/>
  <c r="F1" i="13"/>
  <c r="E4" i="13"/>
  <c r="I4" i="13"/>
  <c r="P4" i="13"/>
  <c r="M6" i="13"/>
  <c r="E7" i="13"/>
  <c r="I7" i="13"/>
  <c r="M7" i="13"/>
  <c r="N7" i="13"/>
  <c r="M11" i="13"/>
  <c r="Y11" i="13"/>
  <c r="G12" i="13"/>
  <c r="H12" i="13"/>
  <c r="J16" i="13"/>
  <c r="AC2" i="13" s="1"/>
  <c r="E26" i="13"/>
  <c r="E30" i="13"/>
  <c r="F31" i="13"/>
  <c r="M31" i="13"/>
  <c r="E32" i="13"/>
  <c r="F32" i="13"/>
  <c r="L32" i="13"/>
  <c r="M32" i="13"/>
  <c r="M33" i="13"/>
  <c r="L34" i="13"/>
  <c r="M34" i="13"/>
  <c r="E37" i="13"/>
  <c r="E39" i="13"/>
  <c r="L39" i="13"/>
  <c r="E40" i="13"/>
  <c r="L40" i="13"/>
  <c r="D65" i="12"/>
  <c r="K50" i="4"/>
  <c r="I15" i="12"/>
  <c r="O15" i="12"/>
  <c r="M15" i="12"/>
  <c r="J15" i="12" s="1"/>
  <c r="K130" i="4"/>
  <c r="AO12" i="13"/>
  <c r="AL12" i="13"/>
  <c r="AK12" i="13"/>
  <c r="AJ12" i="13"/>
  <c r="AM12" i="13"/>
  <c r="AN12" i="13"/>
  <c r="C33" i="4"/>
  <c r="K28" i="10"/>
  <c r="M28" i="10" s="1"/>
  <c r="O28" i="10" s="1"/>
  <c r="Q28" i="10" s="1"/>
  <c r="S28" i="10" s="1"/>
  <c r="U28" i="10" s="1"/>
  <c r="W28" i="10" s="1"/>
  <c r="Y28" i="10" s="1"/>
  <c r="AA28" i="10" s="1"/>
  <c r="AC28" i="10" s="1"/>
  <c r="AE28" i="10" s="1"/>
  <c r="C45" i="4"/>
  <c r="A46" i="4"/>
  <c r="A47" i="4" s="1"/>
  <c r="A48" i="4" s="1"/>
  <c r="A28" i="4"/>
  <c r="A29" i="4" s="1"/>
  <c r="C29" i="4" s="1"/>
  <c r="C27" i="4"/>
  <c r="C34" i="4"/>
  <c r="A17" i="4"/>
  <c r="A18" i="4" s="1"/>
  <c r="C16" i="4"/>
  <c r="E12" i="13"/>
  <c r="C48" i="4"/>
  <c r="A49" i="4"/>
  <c r="C49" i="4" s="1"/>
  <c r="O8" i="5"/>
  <c r="F23" i="7" l="1"/>
  <c r="W39" i="10"/>
  <c r="AB13" i="6"/>
  <c r="A19" i="4"/>
  <c r="C19" i="4" s="1"/>
  <c r="C18" i="4"/>
  <c r="C47" i="4"/>
  <c r="C23" i="4"/>
  <c r="A14" i="11"/>
  <c r="A30" i="4"/>
  <c r="C46" i="4"/>
  <c r="C28" i="4"/>
  <c r="K73" i="12"/>
  <c r="C21" i="4"/>
  <c r="C22" i="4"/>
  <c r="C17" i="4"/>
  <c r="K132" i="4"/>
  <c r="B39" i="14"/>
  <c r="A23" i="8"/>
  <c r="F17" i="7"/>
  <c r="F16" i="7"/>
  <c r="F18" i="7"/>
  <c r="B16" i="5"/>
  <c r="B19" i="10"/>
  <c r="B21" i="9"/>
  <c r="C17" i="7"/>
  <c r="F19" i="7"/>
  <c r="F20" i="7"/>
  <c r="F21" i="7"/>
  <c r="F22" i="7"/>
  <c r="W38" i="10"/>
  <c r="I16" i="5"/>
  <c r="E16" i="12"/>
  <c r="W16" i="5"/>
  <c r="H16" i="12" s="1"/>
  <c r="AE16" i="5"/>
  <c r="F16" i="5"/>
  <c r="C17" i="5"/>
  <c r="W17" i="5" s="1"/>
  <c r="H17" i="12" s="1"/>
  <c r="G16" i="5"/>
  <c r="H16" i="5"/>
  <c r="K70" i="12"/>
  <c r="D16" i="6"/>
  <c r="A16" i="12"/>
  <c r="B16" i="6"/>
  <c r="A16" i="6" s="1"/>
  <c r="T75" i="5"/>
  <c r="B37" i="14"/>
  <c r="C14" i="14"/>
  <c r="O7" i="13"/>
  <c r="T65" i="6"/>
  <c r="P125" i="4"/>
  <c r="H56" i="8"/>
  <c r="I66" i="6"/>
  <c r="I64" i="6"/>
  <c r="BV12" i="6"/>
  <c r="AK13" i="6"/>
  <c r="BD13" i="6"/>
  <c r="B14" i="5"/>
  <c r="F14" i="5"/>
  <c r="I80" i="4"/>
  <c r="G15" i="9"/>
  <c r="M15" i="6"/>
  <c r="L26" i="13"/>
  <c r="F14" i="7"/>
  <c r="F15" i="7"/>
  <c r="A15" i="10" s="1"/>
  <c r="H15" i="10"/>
  <c r="N15" i="12"/>
  <c r="I86" i="4"/>
  <c r="I88" i="4"/>
  <c r="I83" i="4"/>
  <c r="S110" i="4"/>
  <c r="H5" i="5" s="1"/>
  <c r="X8" i="5" s="1"/>
  <c r="I55" i="4"/>
  <c r="I69" i="4"/>
  <c r="I12" i="10"/>
  <c r="H12" i="9"/>
  <c r="I12" i="9" s="1"/>
  <c r="I70" i="4"/>
  <c r="I63" i="4"/>
  <c r="I82" i="4"/>
  <c r="I56" i="4"/>
  <c r="I58" i="4"/>
  <c r="I67" i="4"/>
  <c r="L15" i="12"/>
  <c r="K15" i="12" s="1"/>
  <c r="I72" i="4"/>
  <c r="I60" i="4"/>
  <c r="I78" i="4"/>
  <c r="I71" i="4"/>
  <c r="I66" i="4"/>
  <c r="I116" i="4"/>
  <c r="I79" i="4"/>
  <c r="I130" i="4"/>
  <c r="I76" i="4"/>
  <c r="I122" i="4"/>
  <c r="N10" i="12"/>
  <c r="I104" i="4"/>
  <c r="I119" i="4"/>
  <c r="S30" i="4"/>
  <c r="F5" i="5" s="1"/>
  <c r="A36" i="4"/>
  <c r="C35" i="4"/>
  <c r="C30" i="4"/>
  <c r="A31" i="4"/>
  <c r="C31" i="4" s="1"/>
  <c r="BX12" i="6"/>
  <c r="BY13" i="6"/>
  <c r="I112" i="4"/>
  <c r="I117" i="4"/>
  <c r="I126" i="4"/>
  <c r="I121" i="4"/>
  <c r="I96" i="4"/>
  <c r="I109" i="4"/>
  <c r="I105" i="4"/>
  <c r="I115" i="4"/>
  <c r="I98" i="4"/>
  <c r="I125" i="4"/>
  <c r="I113" i="4"/>
  <c r="I111" i="4"/>
  <c r="I101" i="4"/>
  <c r="I132" i="4"/>
  <c r="I108" i="4"/>
  <c r="I103" i="4"/>
  <c r="I129" i="4"/>
  <c r="I100" i="4"/>
  <c r="I127" i="4"/>
  <c r="I124" i="4"/>
  <c r="I107" i="4"/>
  <c r="I106" i="4"/>
  <c r="I94" i="4"/>
  <c r="I118" i="4"/>
  <c r="I131" i="4"/>
  <c r="I128" i="4"/>
  <c r="I114" i="4"/>
  <c r="I102" i="4"/>
  <c r="I120" i="4"/>
  <c r="I97" i="4"/>
  <c r="I123" i="4"/>
  <c r="C24" i="4"/>
  <c r="I110" i="4"/>
  <c r="I99" i="4"/>
  <c r="Z56" i="8"/>
  <c r="Z57" i="8"/>
  <c r="Z55" i="8"/>
  <c r="P45" i="4"/>
  <c r="K14" i="5"/>
  <c r="J14" i="5"/>
  <c r="H14" i="5"/>
  <c r="A14" i="12"/>
  <c r="D14" i="5"/>
  <c r="B14" i="12" s="1"/>
  <c r="AD14" i="5"/>
  <c r="E14" i="5"/>
  <c r="G14" i="5"/>
  <c r="AE14" i="5"/>
  <c r="N14" i="5"/>
  <c r="I62" i="4"/>
  <c r="I74" i="4"/>
  <c r="I68" i="4"/>
  <c r="I61" i="4"/>
  <c r="I64" i="4"/>
  <c r="I87" i="4"/>
  <c r="I89" i="4"/>
  <c r="I57" i="4"/>
  <c r="I73" i="4"/>
  <c r="I93" i="4"/>
  <c r="I85" i="4"/>
  <c r="I84" i="4"/>
  <c r="I77" i="4"/>
  <c r="I65" i="4"/>
  <c r="I54" i="4"/>
  <c r="I59" i="4"/>
  <c r="I90" i="4"/>
  <c r="I81" i="4"/>
  <c r="I75" i="4"/>
  <c r="I91" i="4"/>
  <c r="E71" i="12"/>
  <c r="B37" i="10"/>
  <c r="F65" i="6"/>
  <c r="O74" i="5"/>
  <c r="D27" i="11"/>
  <c r="M8" i="12"/>
  <c r="AO7" i="12"/>
  <c r="BW12" i="6"/>
  <c r="W36" i="10"/>
  <c r="A4" i="4"/>
  <c r="K51" i="4"/>
  <c r="K71" i="12"/>
  <c r="S70" i="4"/>
  <c r="G5" i="5" s="1"/>
  <c r="W8" i="5" s="1"/>
  <c r="K91" i="4"/>
  <c r="T64" i="6"/>
  <c r="K90" i="4"/>
  <c r="T74" i="5"/>
  <c r="AH50" i="5" l="1"/>
  <c r="AH54" i="5"/>
  <c r="AH52" i="5"/>
  <c r="AH57" i="5"/>
  <c r="AH56" i="5"/>
  <c r="AH55" i="5"/>
  <c r="AH51" i="5"/>
  <c r="AH53" i="5"/>
  <c r="AH49" i="5"/>
  <c r="AH29" i="5"/>
  <c r="AH27" i="5"/>
  <c r="CM16" i="6"/>
  <c r="CL16" i="6"/>
  <c r="CK16" i="6"/>
  <c r="CJ16" i="6"/>
  <c r="CI16" i="6"/>
  <c r="BT16" i="6"/>
  <c r="CH16" i="6"/>
  <c r="BS16" i="6"/>
  <c r="CG16" i="6"/>
  <c r="BR16" i="6"/>
  <c r="CF16" i="6"/>
  <c r="BQ16" i="6"/>
  <c r="BP16" i="6"/>
  <c r="BN16" i="6"/>
  <c r="BO16" i="6"/>
  <c r="BM16" i="6"/>
  <c r="AC13" i="6"/>
  <c r="E16" i="5"/>
  <c r="E17" i="5" s="1"/>
  <c r="F16" i="6"/>
  <c r="B42" i="14"/>
  <c r="A26" i="8"/>
  <c r="F17" i="5"/>
  <c r="AE17" i="5"/>
  <c r="H17" i="5"/>
  <c r="B17" i="7"/>
  <c r="C18" i="7"/>
  <c r="B22" i="9"/>
  <c r="B23" i="9" s="1"/>
  <c r="B20" i="10"/>
  <c r="B17" i="5"/>
  <c r="G17" i="5"/>
  <c r="E17" i="12"/>
  <c r="I17" i="5"/>
  <c r="N17" i="5"/>
  <c r="D17" i="6" s="1"/>
  <c r="B17" i="6"/>
  <c r="A17" i="6" s="1"/>
  <c r="C18" i="5"/>
  <c r="A17" i="12"/>
  <c r="AD16" i="5"/>
  <c r="BD16" i="6"/>
  <c r="BC16" i="6"/>
  <c r="CE16" i="6"/>
  <c r="CD16" i="6"/>
  <c r="CC16" i="6"/>
  <c r="CA16" i="6"/>
  <c r="BZ16" i="6"/>
  <c r="BY16" i="6"/>
  <c r="BX16" i="6"/>
  <c r="BW16" i="6"/>
  <c r="BV16" i="6"/>
  <c r="CB16" i="6"/>
  <c r="BI16" i="6"/>
  <c r="BH16" i="6"/>
  <c r="BG16" i="6"/>
  <c r="BF16" i="6"/>
  <c r="BE16" i="6"/>
  <c r="N16" i="6"/>
  <c r="BK16" i="6"/>
  <c r="BJ16" i="6"/>
  <c r="M16" i="6"/>
  <c r="BL16" i="6"/>
  <c r="H16" i="6"/>
  <c r="T16" i="5" s="1"/>
  <c r="G16" i="12" s="1"/>
  <c r="G16" i="6"/>
  <c r="AH47" i="5"/>
  <c r="AH45" i="5"/>
  <c r="AH43" i="5"/>
  <c r="AH41" i="5"/>
  <c r="AH39" i="5"/>
  <c r="AH37" i="5"/>
  <c r="AH35" i="5"/>
  <c r="AH20" i="5"/>
  <c r="AH36" i="5"/>
  <c r="AH34" i="5"/>
  <c r="AH33" i="5"/>
  <c r="AH19" i="5"/>
  <c r="AH38" i="5"/>
  <c r="AH40" i="5"/>
  <c r="AH32" i="5"/>
  <c r="AH31" i="5"/>
  <c r="AH17" i="5"/>
  <c r="AH26" i="5"/>
  <c r="AH25" i="5"/>
  <c r="AH44" i="5"/>
  <c r="AH48" i="5"/>
  <c r="AH16" i="5"/>
  <c r="AN16" i="5" s="1"/>
  <c r="AH18" i="5"/>
  <c r="AH42" i="5"/>
  <c r="AH28" i="5"/>
  <c r="AH46" i="5"/>
  <c r="AH22" i="5"/>
  <c r="AH24" i="5"/>
  <c r="AH21" i="5"/>
  <c r="AH30" i="5"/>
  <c r="AH23" i="5"/>
  <c r="AK12" i="6"/>
  <c r="AL13" i="6"/>
  <c r="H11" i="9"/>
  <c r="BE13" i="6"/>
  <c r="BD12" i="6"/>
  <c r="B8" i="14"/>
  <c r="I10" i="13"/>
  <c r="I11" i="9"/>
  <c r="J12" i="9"/>
  <c r="I11" i="10"/>
  <c r="J12" i="10"/>
  <c r="AH14" i="5"/>
  <c r="V8" i="5"/>
  <c r="D14" i="6"/>
  <c r="BZ13" i="6"/>
  <c r="C4" i="4"/>
  <c r="A5" i="4"/>
  <c r="J14" i="12"/>
  <c r="L14" i="12"/>
  <c r="C36" i="4"/>
  <c r="A37" i="4"/>
  <c r="C37" i="4" s="1"/>
  <c r="BP17" i="6" l="1"/>
  <c r="BO17" i="6"/>
  <c r="BN17" i="6"/>
  <c r="BR17" i="6"/>
  <c r="BM17" i="6"/>
  <c r="CM17" i="6"/>
  <c r="CL17" i="6"/>
  <c r="CK17" i="6"/>
  <c r="CJ17" i="6"/>
  <c r="CG17" i="6"/>
  <c r="CI17" i="6"/>
  <c r="BT17" i="6"/>
  <c r="CH17" i="6"/>
  <c r="BS17" i="6"/>
  <c r="BQ17" i="6"/>
  <c r="CF17" i="6"/>
  <c r="AD13" i="6"/>
  <c r="A18" i="12"/>
  <c r="J18" i="12" s="1"/>
  <c r="A14" i="13"/>
  <c r="B14" i="11"/>
  <c r="G14" i="11" s="1"/>
  <c r="F14" i="13" s="1"/>
  <c r="AD18" i="5"/>
  <c r="AE18" i="5"/>
  <c r="N18" i="5"/>
  <c r="D18" i="6" s="1"/>
  <c r="F17" i="6"/>
  <c r="D18" i="5"/>
  <c r="B18" i="12" s="1"/>
  <c r="H18" i="5"/>
  <c r="AD17" i="5"/>
  <c r="A29" i="8"/>
  <c r="C19" i="7"/>
  <c r="B18" i="7"/>
  <c r="F18" i="5"/>
  <c r="J18" i="5"/>
  <c r="K18" i="5"/>
  <c r="B18" i="5"/>
  <c r="B18" i="6"/>
  <c r="G18" i="5"/>
  <c r="B21" i="10"/>
  <c r="C19" i="5"/>
  <c r="AK16" i="6"/>
  <c r="E18" i="5"/>
  <c r="BD17" i="6"/>
  <c r="BC17" i="6"/>
  <c r="CE17" i="6"/>
  <c r="CD17" i="6"/>
  <c r="CC17" i="6"/>
  <c r="CA17" i="6"/>
  <c r="BZ17" i="6"/>
  <c r="BY17" i="6"/>
  <c r="BX17" i="6"/>
  <c r="BW17" i="6"/>
  <c r="BV17" i="6"/>
  <c r="BK17" i="6"/>
  <c r="BJ17" i="6"/>
  <c r="BI17" i="6"/>
  <c r="BH17" i="6"/>
  <c r="BG17" i="6"/>
  <c r="BF17" i="6"/>
  <c r="BE17" i="6"/>
  <c r="CB17" i="6"/>
  <c r="BL17" i="6"/>
  <c r="N17" i="6"/>
  <c r="M17" i="6"/>
  <c r="H17" i="6"/>
  <c r="T17" i="5" s="1"/>
  <c r="G17" i="12" s="1"/>
  <c r="G17" i="6"/>
  <c r="AJ16" i="6"/>
  <c r="AM13" i="6"/>
  <c r="AN13" i="6" s="1"/>
  <c r="AL12" i="6"/>
  <c r="AL16" i="6" s="1"/>
  <c r="BE12" i="6"/>
  <c r="BF13" i="6"/>
  <c r="K12" i="10"/>
  <c r="J11" i="10"/>
  <c r="K12" i="9"/>
  <c r="W14" i="5"/>
  <c r="H14" i="12" s="1"/>
  <c r="AN14" i="5"/>
  <c r="CA13" i="6"/>
  <c r="BZ12" i="6"/>
  <c r="A14" i="6"/>
  <c r="N14" i="6" s="1"/>
  <c r="K14" i="12"/>
  <c r="C5" i="4"/>
  <c r="A6" i="4"/>
  <c r="AK3" i="6"/>
  <c r="AE13" i="6" l="1"/>
  <c r="L18" i="12"/>
  <c r="K18" i="12" s="1"/>
  <c r="C14" i="13"/>
  <c r="K14" i="13" s="1"/>
  <c r="K14" i="11"/>
  <c r="J14" i="13" s="1"/>
  <c r="F19" i="5"/>
  <c r="D19" i="5"/>
  <c r="B19" i="12" s="1"/>
  <c r="J19" i="5"/>
  <c r="A19" i="12"/>
  <c r="L19" i="12" s="1"/>
  <c r="E19" i="5"/>
  <c r="AD19" i="5"/>
  <c r="B19" i="6"/>
  <c r="A18" i="6"/>
  <c r="N18" i="6" s="1"/>
  <c r="A32" i="8"/>
  <c r="AK17" i="6"/>
  <c r="G19" i="5"/>
  <c r="H19" i="5"/>
  <c r="K19" i="5"/>
  <c r="AJ17" i="6"/>
  <c r="AE19" i="5"/>
  <c r="B19" i="5"/>
  <c r="C20" i="5" s="1"/>
  <c r="AE20" i="5" s="1"/>
  <c r="B22" i="10"/>
  <c r="B23" i="10" s="1"/>
  <c r="N19" i="5"/>
  <c r="D19" i="6" s="1"/>
  <c r="C20" i="7"/>
  <c r="B19" i="7"/>
  <c r="H18" i="6"/>
  <c r="T18" i="5" s="1"/>
  <c r="AL17" i="6"/>
  <c r="AL3" i="6"/>
  <c r="AJ3" i="6"/>
  <c r="BG13" i="6"/>
  <c r="L12" i="9"/>
  <c r="K11" i="9"/>
  <c r="M14" i="6"/>
  <c r="L12" i="10"/>
  <c r="AN12" i="6"/>
  <c r="AO13" i="6"/>
  <c r="A7" i="4"/>
  <c r="C7" i="4" s="1"/>
  <c r="C6" i="4"/>
  <c r="CA12" i="6"/>
  <c r="CB13" i="6"/>
  <c r="AF13" i="6" l="1"/>
  <c r="CM14" i="6"/>
  <c r="CG14" i="6"/>
  <c r="CL14" i="6"/>
  <c r="CK14" i="6"/>
  <c r="CJ14" i="6"/>
  <c r="CI14" i="6"/>
  <c r="CH14" i="6"/>
  <c r="CF14" i="6"/>
  <c r="BV14" i="6"/>
  <c r="G20" i="5"/>
  <c r="W20" i="5"/>
  <c r="H20" i="12" s="1"/>
  <c r="AD20" i="5"/>
  <c r="B20" i="6"/>
  <c r="A20" i="12"/>
  <c r="C21" i="5"/>
  <c r="C22" i="5" s="1"/>
  <c r="H20" i="5"/>
  <c r="N20" i="5"/>
  <c r="D20" i="6" s="1"/>
  <c r="F20" i="5"/>
  <c r="B20" i="5"/>
  <c r="F20" i="6"/>
  <c r="J19" i="12"/>
  <c r="K19" i="12" s="1"/>
  <c r="E20" i="5"/>
  <c r="M18" i="6"/>
  <c r="A35" i="8"/>
  <c r="A38" i="8" s="1"/>
  <c r="C21" i="7"/>
  <c r="B20" i="7"/>
  <c r="AN16" i="6"/>
  <c r="AN17" i="6"/>
  <c r="H19" i="6"/>
  <c r="T19" i="5" s="1"/>
  <c r="A19" i="6"/>
  <c r="G18" i="12"/>
  <c r="BE14" i="6"/>
  <c r="CB14" i="6"/>
  <c r="BG12" i="6"/>
  <c r="BH13" i="6"/>
  <c r="BH14" i="6" s="1"/>
  <c r="CC14" i="6"/>
  <c r="BX14" i="6"/>
  <c r="CA14" i="6"/>
  <c r="BY14" i="6"/>
  <c r="BF14" i="6"/>
  <c r="BG14" i="6"/>
  <c r="BD14" i="6"/>
  <c r="BC14" i="6"/>
  <c r="BW14" i="6"/>
  <c r="CD14" i="6"/>
  <c r="CE14" i="6"/>
  <c r="L11" i="9"/>
  <c r="M12" i="9"/>
  <c r="BZ14" i="6"/>
  <c r="L11" i="10"/>
  <c r="M12" i="10"/>
  <c r="AP13" i="6"/>
  <c r="AO12" i="6"/>
  <c r="CB12" i="6"/>
  <c r="CC13" i="6"/>
  <c r="Z69" i="4"/>
  <c r="Y29" i="4"/>
  <c r="Z21" i="4"/>
  <c r="Y64" i="4"/>
  <c r="X21" i="4"/>
  <c r="Y24" i="4"/>
  <c r="X103" i="4"/>
  <c r="Y102" i="4"/>
  <c r="Y101" i="4"/>
  <c r="Y21" i="4"/>
  <c r="X105" i="4"/>
  <c r="Y103" i="4"/>
  <c r="Z62" i="4"/>
  <c r="X29" i="4"/>
  <c r="X109" i="4"/>
  <c r="X101" i="4"/>
  <c r="Z23" i="4"/>
  <c r="Y62" i="4"/>
  <c r="X62" i="4"/>
  <c r="Z109" i="4"/>
  <c r="Z103" i="4"/>
  <c r="Z102" i="4"/>
  <c r="Z24" i="4"/>
  <c r="X61" i="4"/>
  <c r="Z63" i="4"/>
  <c r="X23" i="4"/>
  <c r="X65" i="4"/>
  <c r="Z105" i="4"/>
  <c r="Y104" i="4"/>
  <c r="Z61" i="4"/>
  <c r="Z29" i="4"/>
  <c r="Y65" i="4"/>
  <c r="Y109" i="4"/>
  <c r="Z104" i="4"/>
  <c r="Y69" i="4"/>
  <c r="X25" i="4"/>
  <c r="Z25" i="4"/>
  <c r="X22" i="4"/>
  <c r="X63" i="4"/>
  <c r="Y25" i="4"/>
  <c r="Y22" i="4"/>
  <c r="Z65" i="4"/>
  <c r="X69" i="4"/>
  <c r="U69" i="4" s="1"/>
  <c r="Y61" i="4"/>
  <c r="X102" i="4"/>
  <c r="X104" i="4"/>
  <c r="X64" i="4"/>
  <c r="Y105" i="4"/>
  <c r="Y63" i="4"/>
  <c r="Z22" i="4"/>
  <c r="Z101" i="4"/>
  <c r="Z64" i="4"/>
  <c r="X24" i="4"/>
  <c r="Y23" i="4"/>
  <c r="BP20" i="6" l="1"/>
  <c r="BO20" i="6"/>
  <c r="BN20" i="6"/>
  <c r="BM20" i="6"/>
  <c r="CM20" i="6"/>
  <c r="CL20" i="6"/>
  <c r="CK20" i="6"/>
  <c r="CJ20" i="6"/>
  <c r="BR20" i="6"/>
  <c r="CI20" i="6"/>
  <c r="BT20" i="6"/>
  <c r="CH20" i="6"/>
  <c r="BS20" i="6"/>
  <c r="CG20" i="6"/>
  <c r="BQ20" i="6"/>
  <c r="CF20" i="6"/>
  <c r="AG13" i="6"/>
  <c r="CA18" i="6"/>
  <c r="A21" i="12"/>
  <c r="L21" i="12" s="1"/>
  <c r="B21" i="5"/>
  <c r="B22" i="5" s="1"/>
  <c r="G21" i="5"/>
  <c r="G22" i="5" s="1"/>
  <c r="AD21" i="5"/>
  <c r="D21" i="5"/>
  <c r="B21" i="12" s="1"/>
  <c r="N21" i="5"/>
  <c r="D21" i="6" s="1"/>
  <c r="H21" i="5"/>
  <c r="H22" i="5" s="1"/>
  <c r="K21" i="5"/>
  <c r="B21" i="6"/>
  <c r="E20" i="12"/>
  <c r="AE21" i="5"/>
  <c r="F21" i="5"/>
  <c r="J21" i="5"/>
  <c r="E21" i="5"/>
  <c r="E22" i="5" s="1"/>
  <c r="BD18" i="6"/>
  <c r="BF18" i="6"/>
  <c r="CC18" i="6"/>
  <c r="BX18" i="6"/>
  <c r="BW18" i="6"/>
  <c r="BY18" i="6"/>
  <c r="BE18" i="6"/>
  <c r="BV18" i="6"/>
  <c r="M19" i="6"/>
  <c r="BG18" i="6"/>
  <c r="CB18" i="6"/>
  <c r="BC18" i="6"/>
  <c r="BZ18" i="6"/>
  <c r="BH18" i="6"/>
  <c r="C22" i="7"/>
  <c r="C23" i="7" s="1"/>
  <c r="B23" i="7" s="1"/>
  <c r="B21" i="7"/>
  <c r="N19" i="6"/>
  <c r="A20" i="6"/>
  <c r="M20" i="6" s="1"/>
  <c r="A22" i="12"/>
  <c r="B22" i="6"/>
  <c r="AD22" i="5"/>
  <c r="AE22" i="5"/>
  <c r="K22" i="5"/>
  <c r="J22" i="5"/>
  <c r="C23" i="5"/>
  <c r="N22" i="5"/>
  <c r="D22" i="5"/>
  <c r="B22" i="12" s="1"/>
  <c r="AO16" i="6"/>
  <c r="AO17" i="6"/>
  <c r="G19" i="12"/>
  <c r="H20" i="6"/>
  <c r="T20" i="5" s="1"/>
  <c r="G20" i="6"/>
  <c r="U109" i="4"/>
  <c r="K112" i="4" s="1"/>
  <c r="BI13" i="6"/>
  <c r="BI18" i="6" s="1"/>
  <c r="BH12" i="6"/>
  <c r="M11" i="10"/>
  <c r="N12" i="10"/>
  <c r="M11" i="9"/>
  <c r="N12" i="9"/>
  <c r="AP12" i="6"/>
  <c r="AQ13" i="6"/>
  <c r="U29" i="4"/>
  <c r="J72" i="4"/>
  <c r="K72" i="4"/>
  <c r="CD13" i="6"/>
  <c r="CD18" i="6" s="1"/>
  <c r="CC12" i="6"/>
  <c r="AH13" i="6" l="1"/>
  <c r="F22" i="5"/>
  <c r="F23" i="5" s="1"/>
  <c r="J21" i="12"/>
  <c r="K21" i="12" s="1"/>
  <c r="BG19" i="6"/>
  <c r="BZ19" i="6"/>
  <c r="BX19" i="6"/>
  <c r="BV19" i="6"/>
  <c r="BW19" i="6"/>
  <c r="A21" i="6"/>
  <c r="N21" i="6" s="1"/>
  <c r="BY19" i="6"/>
  <c r="CC19" i="6"/>
  <c r="CB19" i="6"/>
  <c r="BF19" i="6"/>
  <c r="BC19" i="6"/>
  <c r="BE19" i="6"/>
  <c r="BH19" i="6"/>
  <c r="BD19" i="6"/>
  <c r="CA19" i="6"/>
  <c r="BZ20" i="6"/>
  <c r="N20" i="6"/>
  <c r="B22" i="7"/>
  <c r="BI19" i="6"/>
  <c r="AP20" i="6"/>
  <c r="CA20" i="6"/>
  <c r="CC20" i="6"/>
  <c r="AO20" i="6"/>
  <c r="BE20" i="6"/>
  <c r="BF20" i="6"/>
  <c r="CB20" i="6"/>
  <c r="D22" i="6"/>
  <c r="G20" i="12"/>
  <c r="AJ20" i="6"/>
  <c r="CD19" i="6"/>
  <c r="AK20" i="6"/>
  <c r="L22" i="12"/>
  <c r="J22" i="12"/>
  <c r="AP16" i="6"/>
  <c r="AP17" i="6"/>
  <c r="BC20" i="6"/>
  <c r="BD20" i="6"/>
  <c r="BV20" i="6"/>
  <c r="BX20" i="6"/>
  <c r="CD20" i="6"/>
  <c r="H21" i="6"/>
  <c r="T21" i="5" s="1"/>
  <c r="BG20" i="6"/>
  <c r="AN20" i="6"/>
  <c r="A23" i="12"/>
  <c r="B23" i="6"/>
  <c r="C24" i="5"/>
  <c r="N23" i="5"/>
  <c r="J23" i="5"/>
  <c r="H23" i="5"/>
  <c r="G23" i="5"/>
  <c r="D23" i="5"/>
  <c r="B23" i="12" s="1"/>
  <c r="E23" i="5"/>
  <c r="AE23" i="5"/>
  <c r="K23" i="5"/>
  <c r="B23" i="5"/>
  <c r="AD23" i="5"/>
  <c r="BW20" i="6"/>
  <c r="AL20" i="6"/>
  <c r="BH20" i="6"/>
  <c r="BY20" i="6"/>
  <c r="BI20" i="6"/>
  <c r="J112" i="4"/>
  <c r="BI14" i="6"/>
  <c r="BJ13" i="6"/>
  <c r="BI12" i="6"/>
  <c r="O12" i="9"/>
  <c r="N11" i="9"/>
  <c r="O12" i="10"/>
  <c r="N11" i="10"/>
  <c r="AQ12" i="6"/>
  <c r="AR13" i="6"/>
  <c r="K32" i="4"/>
  <c r="J32" i="4"/>
  <c r="CE13" i="6"/>
  <c r="CF13" i="6" s="1"/>
  <c r="CF19" i="6" s="1"/>
  <c r="CD12" i="6"/>
  <c r="CF12" i="6" l="1"/>
  <c r="CG13" i="6"/>
  <c r="CF18" i="6"/>
  <c r="CE20" i="6"/>
  <c r="A22" i="6"/>
  <c r="N22" i="6" s="1"/>
  <c r="M21" i="6"/>
  <c r="K22" i="12"/>
  <c r="AQ16" i="6"/>
  <c r="AQ17" i="6"/>
  <c r="AQ20" i="6"/>
  <c r="J23" i="12"/>
  <c r="L23" i="12"/>
  <c r="BJ18" i="6"/>
  <c r="BJ19" i="6"/>
  <c r="D23" i="6"/>
  <c r="I20" i="5"/>
  <c r="G21" i="12"/>
  <c r="BJ20" i="6"/>
  <c r="H22" i="6"/>
  <c r="T22" i="5" s="1"/>
  <c r="A24" i="12"/>
  <c r="B24" i="6"/>
  <c r="B24" i="5"/>
  <c r="N24" i="5"/>
  <c r="K24" i="5"/>
  <c r="J24" i="5"/>
  <c r="G24" i="5"/>
  <c r="F24" i="5"/>
  <c r="E24" i="5"/>
  <c r="D24" i="5"/>
  <c r="B24" i="12" s="1"/>
  <c r="AE24" i="5"/>
  <c r="H24" i="5"/>
  <c r="C25" i="5"/>
  <c r="AD24" i="5"/>
  <c r="CE18" i="6"/>
  <c r="CE19" i="6"/>
  <c r="BJ12" i="6"/>
  <c r="BK13" i="6"/>
  <c r="BJ14" i="6"/>
  <c r="P12" i="10"/>
  <c r="O11" i="10"/>
  <c r="O11" i="9"/>
  <c r="P12" i="9"/>
  <c r="AR12" i="6"/>
  <c r="AS13" i="6"/>
  <c r="AT13" i="6" s="1"/>
  <c r="CE12" i="6"/>
  <c r="CF21" i="6" l="1"/>
  <c r="CG21" i="6"/>
  <c r="AT3" i="6"/>
  <c r="AU3" i="6" s="1"/>
  <c r="AU13" i="6"/>
  <c r="AT12" i="6"/>
  <c r="CG12" i="6"/>
  <c r="CH13" i="6"/>
  <c r="CH21" i="6" s="1"/>
  <c r="CG18" i="6"/>
  <c r="CG19" i="6"/>
  <c r="AS12" i="6"/>
  <c r="M22" i="6"/>
  <c r="BW21" i="6"/>
  <c r="BG21" i="6"/>
  <c r="CD21" i="6"/>
  <c r="BK21" i="6"/>
  <c r="BX21" i="6"/>
  <c r="CA21" i="6"/>
  <c r="BC21" i="6"/>
  <c r="BZ21" i="6"/>
  <c r="BH21" i="6"/>
  <c r="BE21" i="6"/>
  <c r="BD21" i="6"/>
  <c r="BI21" i="6"/>
  <c r="BY21" i="6"/>
  <c r="CB21" i="6"/>
  <c r="CE21" i="6"/>
  <c r="BV21" i="6"/>
  <c r="BF21" i="6"/>
  <c r="CC21" i="6"/>
  <c r="BJ21" i="6"/>
  <c r="K23" i="12"/>
  <c r="D24" i="6"/>
  <c r="G22" i="12"/>
  <c r="L24" i="12"/>
  <c r="J24" i="12"/>
  <c r="A25" i="12"/>
  <c r="B25" i="6"/>
  <c r="C26" i="5"/>
  <c r="C27" i="5" s="1"/>
  <c r="N25" i="5"/>
  <c r="J25" i="5"/>
  <c r="F25" i="5"/>
  <c r="K25" i="5"/>
  <c r="H25" i="5"/>
  <c r="G25" i="5"/>
  <c r="E25" i="5"/>
  <c r="D25" i="5"/>
  <c r="B25" i="12" s="1"/>
  <c r="B25" i="5"/>
  <c r="AE25" i="5"/>
  <c r="AD25" i="5"/>
  <c r="H23" i="6"/>
  <c r="T23" i="5" s="1"/>
  <c r="AR16" i="6"/>
  <c r="AR17" i="6"/>
  <c r="AR20" i="6"/>
  <c r="BK18" i="6"/>
  <c r="BK19" i="6"/>
  <c r="BK20" i="6"/>
  <c r="A23" i="6"/>
  <c r="M23" i="6" s="1"/>
  <c r="BK12" i="6"/>
  <c r="BL13" i="6"/>
  <c r="BM13" i="6" s="1"/>
  <c r="BM21" i="6" s="1"/>
  <c r="BK14" i="6"/>
  <c r="Q12" i="9"/>
  <c r="P11" i="9"/>
  <c r="Q12" i="10"/>
  <c r="P11" i="10"/>
  <c r="B27" i="6" l="1"/>
  <c r="AE27" i="5"/>
  <c r="N27" i="5"/>
  <c r="AD27" i="5"/>
  <c r="K27" i="5"/>
  <c r="D27" i="5"/>
  <c r="B27" i="12" s="1"/>
  <c r="A27" i="12"/>
  <c r="J27" i="5"/>
  <c r="AS17" i="6"/>
  <c r="AS20" i="6"/>
  <c r="BM23" i="6"/>
  <c r="AS16" i="6"/>
  <c r="CG22" i="6"/>
  <c r="BM22" i="6"/>
  <c r="CF22" i="6"/>
  <c r="CH22" i="6"/>
  <c r="CH12" i="6"/>
  <c r="CI13" i="6"/>
  <c r="CI22" i="6" s="1"/>
  <c r="CH18" i="6"/>
  <c r="CH19" i="6"/>
  <c r="CG23" i="6"/>
  <c r="AT16" i="6"/>
  <c r="AT17" i="6"/>
  <c r="AT20" i="6"/>
  <c r="CF23" i="6"/>
  <c r="AV13" i="6"/>
  <c r="AU12" i="6"/>
  <c r="BM12" i="6"/>
  <c r="BN13" i="6"/>
  <c r="BM14" i="6"/>
  <c r="BM18" i="6"/>
  <c r="BM19" i="6"/>
  <c r="CH23" i="6"/>
  <c r="BC22" i="6"/>
  <c r="BH22" i="6"/>
  <c r="BW22" i="6"/>
  <c r="BD22" i="6"/>
  <c r="BV22" i="6"/>
  <c r="BX22" i="6"/>
  <c r="BE22" i="6"/>
  <c r="BK22" i="6"/>
  <c r="CD22" i="6"/>
  <c r="CB22" i="6"/>
  <c r="BG22" i="6"/>
  <c r="CA22" i="6"/>
  <c r="BZ22" i="6"/>
  <c r="BI22" i="6"/>
  <c r="CC22" i="6"/>
  <c r="BJ22" i="6"/>
  <c r="BY22" i="6"/>
  <c r="CE22" i="6"/>
  <c r="BF22" i="6"/>
  <c r="BL22" i="6"/>
  <c r="K24" i="12"/>
  <c r="BD23" i="6"/>
  <c r="BJ23" i="6"/>
  <c r="BC23" i="6"/>
  <c r="BI23" i="6"/>
  <c r="CE23" i="6"/>
  <c r="BZ23" i="6"/>
  <c r="BF23" i="6"/>
  <c r="BH23" i="6"/>
  <c r="BW23" i="6"/>
  <c r="BG23" i="6"/>
  <c r="BX23" i="6"/>
  <c r="BV23" i="6"/>
  <c r="CD23" i="6"/>
  <c r="BK23" i="6"/>
  <c r="BY23" i="6"/>
  <c r="CC23" i="6"/>
  <c r="BE23" i="6"/>
  <c r="CA23" i="6"/>
  <c r="CB23" i="6"/>
  <c r="BL23" i="6"/>
  <c r="G23" i="12"/>
  <c r="H24" i="6"/>
  <c r="T24" i="5" s="1"/>
  <c r="N23" i="6"/>
  <c r="L25" i="12"/>
  <c r="J25" i="12"/>
  <c r="A24" i="6"/>
  <c r="D25" i="6"/>
  <c r="BL18" i="6"/>
  <c r="BL19" i="6"/>
  <c r="BL20" i="6"/>
  <c r="BL21" i="6"/>
  <c r="A26" i="12"/>
  <c r="B26" i="6"/>
  <c r="B26" i="5"/>
  <c r="B27" i="5" s="1"/>
  <c r="C28" i="5"/>
  <c r="C29" i="5" s="1"/>
  <c r="N26" i="5"/>
  <c r="K26" i="5"/>
  <c r="J26" i="5"/>
  <c r="E26" i="5"/>
  <c r="E27" i="5" s="1"/>
  <c r="H26" i="5"/>
  <c r="H27" i="5" s="1"/>
  <c r="G26" i="5"/>
  <c r="G27" i="5" s="1"/>
  <c r="F26" i="5"/>
  <c r="F27" i="5" s="1"/>
  <c r="D26" i="5"/>
  <c r="B26" i="12" s="1"/>
  <c r="AD26" i="5"/>
  <c r="AE26" i="5"/>
  <c r="BL12" i="6"/>
  <c r="BL14" i="6"/>
  <c r="Q11" i="10"/>
  <c r="R12" i="10"/>
  <c r="R12" i="9"/>
  <c r="Q11" i="9"/>
  <c r="J27" i="12" l="1"/>
  <c r="L27" i="12"/>
  <c r="D27" i="6"/>
  <c r="B29" i="6"/>
  <c r="D29" i="5"/>
  <c r="B29" i="12" s="1"/>
  <c r="AE29" i="5"/>
  <c r="N29" i="5"/>
  <c r="AD29" i="5"/>
  <c r="J29" i="5"/>
  <c r="A29" i="12"/>
  <c r="K29" i="5"/>
  <c r="CI23" i="6"/>
  <c r="CI12" i="6"/>
  <c r="CJ13" i="6"/>
  <c r="CI18" i="6"/>
  <c r="CI19" i="6"/>
  <c r="CI21" i="6"/>
  <c r="BN12" i="6"/>
  <c r="BO13" i="6"/>
  <c r="BN14" i="6"/>
  <c r="BN18" i="6"/>
  <c r="BN19" i="6"/>
  <c r="BN21" i="6"/>
  <c r="BN23" i="6"/>
  <c r="AU16" i="6"/>
  <c r="AU17" i="6"/>
  <c r="AU20" i="6"/>
  <c r="AW13" i="6"/>
  <c r="AV12" i="6"/>
  <c r="BN22" i="6"/>
  <c r="K25" i="12"/>
  <c r="A25" i="6"/>
  <c r="N25" i="6" s="1"/>
  <c r="M24" i="6"/>
  <c r="A28" i="12"/>
  <c r="B28" i="6"/>
  <c r="N28" i="5"/>
  <c r="J28" i="5"/>
  <c r="F28" i="5"/>
  <c r="F29" i="5" s="1"/>
  <c r="H28" i="5"/>
  <c r="H29" i="5" s="1"/>
  <c r="K28" i="5"/>
  <c r="G28" i="5"/>
  <c r="G29" i="5" s="1"/>
  <c r="E28" i="5"/>
  <c r="E29" i="5" s="1"/>
  <c r="D28" i="5"/>
  <c r="B28" i="12" s="1"/>
  <c r="B28" i="5"/>
  <c r="AE28" i="5"/>
  <c r="AD28" i="5"/>
  <c r="D26" i="6"/>
  <c r="N24" i="6"/>
  <c r="G24" i="12"/>
  <c r="H25" i="6"/>
  <c r="T25" i="5" s="1"/>
  <c r="L26" i="12"/>
  <c r="J26" i="12"/>
  <c r="R11" i="9"/>
  <c r="S12" i="9"/>
  <c r="R11" i="10"/>
  <c r="S12" i="10"/>
  <c r="K27" i="12" l="1"/>
  <c r="H27" i="6"/>
  <c r="T27" i="5" s="1"/>
  <c r="E29" i="12"/>
  <c r="F29" i="6"/>
  <c r="J29" i="12"/>
  <c r="L29" i="12"/>
  <c r="D29" i="6"/>
  <c r="B29" i="5"/>
  <c r="C30" i="5" s="1"/>
  <c r="CI24" i="6"/>
  <c r="BN24" i="6"/>
  <c r="CH24" i="6"/>
  <c r="BM24" i="6"/>
  <c r="CG24" i="6"/>
  <c r="CF24" i="6"/>
  <c r="CJ24" i="6"/>
  <c r="BO24" i="6"/>
  <c r="BO12" i="6"/>
  <c r="BP13" i="6"/>
  <c r="BO14" i="6"/>
  <c r="BO18" i="6"/>
  <c r="BO19" i="6"/>
  <c r="BO21" i="6"/>
  <c r="BO22" i="6"/>
  <c r="BO23" i="6"/>
  <c r="CK13" i="6"/>
  <c r="CJ12" i="6"/>
  <c r="CJ18" i="6"/>
  <c r="CJ19" i="6"/>
  <c r="CJ21" i="6"/>
  <c r="CJ23" i="6"/>
  <c r="CJ22" i="6"/>
  <c r="AV16" i="6"/>
  <c r="AV17" i="6"/>
  <c r="AV20" i="6"/>
  <c r="AW12" i="6"/>
  <c r="AX13" i="6"/>
  <c r="M25" i="6"/>
  <c r="K26" i="12"/>
  <c r="BD24" i="6"/>
  <c r="BC24" i="6"/>
  <c r="BY24" i="6"/>
  <c r="BX24" i="6"/>
  <c r="BE24" i="6"/>
  <c r="BG24" i="6"/>
  <c r="BL24" i="6"/>
  <c r="BV24" i="6"/>
  <c r="CE24" i="6"/>
  <c r="BF24" i="6"/>
  <c r="BK24" i="6"/>
  <c r="BW24" i="6"/>
  <c r="BZ24" i="6"/>
  <c r="CC24" i="6"/>
  <c r="CD24" i="6"/>
  <c r="CB24" i="6"/>
  <c r="BH24" i="6"/>
  <c r="BJ24" i="6"/>
  <c r="CA24" i="6"/>
  <c r="BI24" i="6"/>
  <c r="H26" i="6"/>
  <c r="T26" i="5" s="1"/>
  <c r="D28" i="6"/>
  <c r="G25" i="12"/>
  <c r="L28" i="12"/>
  <c r="J28" i="12"/>
  <c r="A26" i="6"/>
  <c r="T12" i="10"/>
  <c r="S11" i="10"/>
  <c r="S11" i="9"/>
  <c r="T12" i="9"/>
  <c r="N26" i="6" l="1"/>
  <c r="A27" i="6"/>
  <c r="A28" i="6" s="1"/>
  <c r="G27" i="12"/>
  <c r="K29" i="12"/>
  <c r="G30" i="5"/>
  <c r="F30" i="5"/>
  <c r="E30" i="5"/>
  <c r="AD30" i="5"/>
  <c r="H30" i="5"/>
  <c r="AE30" i="5"/>
  <c r="C31" i="5"/>
  <c r="D31" i="5" s="1"/>
  <c r="B31" i="12" s="1"/>
  <c r="W30" i="5"/>
  <c r="H30" i="12" s="1"/>
  <c r="A30" i="12"/>
  <c r="N30" i="5"/>
  <c r="D30" i="6" s="1"/>
  <c r="B30" i="6"/>
  <c r="B30" i="5"/>
  <c r="H29" i="6"/>
  <c r="T29" i="5" s="1"/>
  <c r="CH25" i="6"/>
  <c r="BM25" i="6"/>
  <c r="CG25" i="6"/>
  <c r="CF25" i="6"/>
  <c r="CK25" i="6"/>
  <c r="BP25" i="6"/>
  <c r="CJ25" i="6"/>
  <c r="BO25" i="6"/>
  <c r="CI25" i="6"/>
  <c r="BN25" i="6"/>
  <c r="BP12" i="6"/>
  <c r="BQ13" i="6"/>
  <c r="BQ25" i="6" s="1"/>
  <c r="BP14" i="6"/>
  <c r="BP18" i="6"/>
  <c r="BP19" i="6"/>
  <c r="BP21" i="6"/>
  <c r="BP23" i="6"/>
  <c r="BP22" i="6"/>
  <c r="CL13" i="6"/>
  <c r="CL25" i="6" s="1"/>
  <c r="CK12" i="6"/>
  <c r="CK18" i="6"/>
  <c r="CK19" i="6"/>
  <c r="CK21" i="6"/>
  <c r="CK23" i="6"/>
  <c r="CK22" i="6"/>
  <c r="CK24" i="6"/>
  <c r="BP24" i="6"/>
  <c r="AX12" i="6"/>
  <c r="AY13" i="6"/>
  <c r="AW16" i="6"/>
  <c r="AW17" i="6"/>
  <c r="AW20" i="6"/>
  <c r="BY25" i="6"/>
  <c r="CB25" i="6"/>
  <c r="BZ25" i="6"/>
  <c r="BG25" i="6"/>
  <c r="BV25" i="6"/>
  <c r="K28" i="12"/>
  <c r="CD25" i="6"/>
  <c r="BL25" i="6"/>
  <c r="BW25" i="6"/>
  <c r="BI25" i="6"/>
  <c r="BX25" i="6"/>
  <c r="CE25" i="6"/>
  <c r="BK25" i="6"/>
  <c r="BE25" i="6"/>
  <c r="BJ25" i="6"/>
  <c r="BH25" i="6"/>
  <c r="BD25" i="6"/>
  <c r="BC25" i="6"/>
  <c r="CA25" i="6"/>
  <c r="BF25" i="6"/>
  <c r="CC25" i="6"/>
  <c r="M26" i="6"/>
  <c r="G26" i="12"/>
  <c r="H28" i="6"/>
  <c r="T28" i="5" s="1"/>
  <c r="E30" i="12"/>
  <c r="F30" i="6"/>
  <c r="U12" i="10"/>
  <c r="T11" i="10"/>
  <c r="T11" i="9"/>
  <c r="U12" i="9"/>
  <c r="N27" i="6" l="1"/>
  <c r="M27" i="6"/>
  <c r="B31" i="5"/>
  <c r="N31" i="5"/>
  <c r="AD31" i="5"/>
  <c r="J31" i="5"/>
  <c r="AE31" i="5"/>
  <c r="C32" i="5"/>
  <c r="B32" i="6" s="1"/>
  <c r="B31" i="6"/>
  <c r="A31" i="12"/>
  <c r="L31" i="12" s="1"/>
  <c r="K31" i="5"/>
  <c r="E31" i="5"/>
  <c r="G31" i="5"/>
  <c r="F31" i="5"/>
  <c r="H31" i="5"/>
  <c r="N28" i="6"/>
  <c r="A29" i="6"/>
  <c r="G29" i="12"/>
  <c r="BP26" i="6"/>
  <c r="CK26" i="6"/>
  <c r="BO26" i="6"/>
  <c r="CJ26" i="6"/>
  <c r="BN26" i="6"/>
  <c r="CI26" i="6"/>
  <c r="BM26" i="6"/>
  <c r="CG26" i="6"/>
  <c r="CH26" i="6"/>
  <c r="CF26" i="6"/>
  <c r="CL26" i="6"/>
  <c r="BQ26" i="6"/>
  <c r="BQ12" i="6"/>
  <c r="BR13" i="6"/>
  <c r="BR26" i="6" s="1"/>
  <c r="BQ14" i="6"/>
  <c r="BQ18" i="6"/>
  <c r="BQ19" i="6"/>
  <c r="BQ21" i="6"/>
  <c r="BQ23" i="6"/>
  <c r="BQ22" i="6"/>
  <c r="BQ24" i="6"/>
  <c r="AY12" i="6"/>
  <c r="AZ13" i="6"/>
  <c r="CM30" i="6"/>
  <c r="CL30" i="6"/>
  <c r="BN30" i="6"/>
  <c r="CK30" i="6"/>
  <c r="CJ30" i="6"/>
  <c r="CI30" i="6"/>
  <c r="BT30" i="6"/>
  <c r="CH30" i="6"/>
  <c r="BS30" i="6"/>
  <c r="CG30" i="6"/>
  <c r="BR30" i="6"/>
  <c r="CF30" i="6"/>
  <c r="BQ30" i="6"/>
  <c r="BP30" i="6"/>
  <c r="BO30" i="6"/>
  <c r="BM30" i="6"/>
  <c r="AX16" i="6"/>
  <c r="AX17" i="6"/>
  <c r="AX18" i="6"/>
  <c r="AX19" i="6"/>
  <c r="AX20" i="6"/>
  <c r="AX21" i="6"/>
  <c r="AX22" i="6"/>
  <c r="AX23" i="6"/>
  <c r="AX24" i="6"/>
  <c r="AX25" i="6"/>
  <c r="AX26" i="6"/>
  <c r="CM13" i="6"/>
  <c r="CM26" i="6" s="1"/>
  <c r="CL12" i="6"/>
  <c r="CL18" i="6"/>
  <c r="CL19" i="6"/>
  <c r="CL21" i="6"/>
  <c r="CL22" i="6"/>
  <c r="CL23" i="6"/>
  <c r="CL24" i="6"/>
  <c r="M28" i="6"/>
  <c r="BK26" i="6"/>
  <c r="BL26" i="6"/>
  <c r="CB26" i="6"/>
  <c r="CA26" i="6"/>
  <c r="CE26" i="6"/>
  <c r="BV26" i="6"/>
  <c r="BC26" i="6"/>
  <c r="BI26" i="6"/>
  <c r="BE26" i="6"/>
  <c r="BG26" i="6"/>
  <c r="BJ26" i="6"/>
  <c r="BF26" i="6"/>
  <c r="BH26" i="6"/>
  <c r="BX26" i="6"/>
  <c r="BZ26" i="6"/>
  <c r="BY26" i="6"/>
  <c r="CD26" i="6"/>
  <c r="BW26" i="6"/>
  <c r="BD26" i="6"/>
  <c r="CC26" i="6"/>
  <c r="H30" i="6"/>
  <c r="T30" i="5" s="1"/>
  <c r="G30" i="6"/>
  <c r="D31" i="6"/>
  <c r="G28" i="12"/>
  <c r="A30" i="6"/>
  <c r="N30" i="6" s="1"/>
  <c r="V12" i="10"/>
  <c r="U11" i="10"/>
  <c r="V12" i="9"/>
  <c r="U11" i="9"/>
  <c r="AY27" i="6" l="1"/>
  <c r="CK27" i="6"/>
  <c r="BK27" i="6"/>
  <c r="CC27" i="6"/>
  <c r="BY27" i="6"/>
  <c r="BG27" i="6"/>
  <c r="BP27" i="6"/>
  <c r="CM27" i="6"/>
  <c r="BL27" i="6"/>
  <c r="BR27" i="6"/>
  <c r="BD27" i="6"/>
  <c r="BN27" i="6"/>
  <c r="CI27" i="6"/>
  <c r="BX27" i="6"/>
  <c r="BW27" i="6"/>
  <c r="CE27" i="6"/>
  <c r="CA27" i="6"/>
  <c r="CL27" i="6"/>
  <c r="BF27" i="6"/>
  <c r="BM27" i="6"/>
  <c r="CG27" i="6"/>
  <c r="BJ27" i="6"/>
  <c r="BZ27" i="6"/>
  <c r="BH27" i="6"/>
  <c r="CD27" i="6"/>
  <c r="CF27" i="6"/>
  <c r="BO27" i="6"/>
  <c r="CH27" i="6"/>
  <c r="BQ27" i="6"/>
  <c r="CJ27" i="6"/>
  <c r="BC27" i="6"/>
  <c r="BV27" i="6"/>
  <c r="BE27" i="6"/>
  <c r="CB27" i="6"/>
  <c r="BI27" i="6"/>
  <c r="AX27" i="6"/>
  <c r="J32" i="5"/>
  <c r="F32" i="5"/>
  <c r="AD32" i="5"/>
  <c r="D32" i="5"/>
  <c r="B32" i="12" s="1"/>
  <c r="E32" i="5"/>
  <c r="A32" i="12"/>
  <c r="J32" i="12" s="1"/>
  <c r="K32" i="5"/>
  <c r="H32" i="5"/>
  <c r="AE32" i="5"/>
  <c r="N32" i="5"/>
  <c r="D32" i="6" s="1"/>
  <c r="J31" i="12"/>
  <c r="K31" i="12" s="1"/>
  <c r="B32" i="5"/>
  <c r="C33" i="5" s="1"/>
  <c r="C34" i="5" s="1"/>
  <c r="G32" i="5"/>
  <c r="N29" i="6"/>
  <c r="M29" i="6"/>
  <c r="AZ12" i="6"/>
  <c r="AZ27" i="6" s="1"/>
  <c r="BA13" i="6"/>
  <c r="BA12" i="6" s="1"/>
  <c r="BA27" i="6" s="1"/>
  <c r="BR12" i="6"/>
  <c r="BS13" i="6"/>
  <c r="BS28" i="6" s="1"/>
  <c r="BR14" i="6"/>
  <c r="BR18" i="6"/>
  <c r="BR19" i="6"/>
  <c r="BR21" i="6"/>
  <c r="BR22" i="6"/>
  <c r="BR23" i="6"/>
  <c r="BR24" i="6"/>
  <c r="BR25" i="6"/>
  <c r="AY16" i="6"/>
  <c r="AY17" i="6"/>
  <c r="AY18" i="6"/>
  <c r="AY19" i="6"/>
  <c r="AY20" i="6"/>
  <c r="AY21" i="6"/>
  <c r="AY22" i="6"/>
  <c r="AY23" i="6"/>
  <c r="AY24" i="6"/>
  <c r="AY25" i="6"/>
  <c r="AY26" i="6"/>
  <c r="AY28" i="6"/>
  <c r="AX28" i="6"/>
  <c r="CI28" i="6"/>
  <c r="BN28" i="6"/>
  <c r="CH28" i="6"/>
  <c r="BM28" i="6"/>
  <c r="CG28" i="6"/>
  <c r="CK28" i="6"/>
  <c r="BR28" i="6"/>
  <c r="CM28" i="6"/>
  <c r="CF28" i="6"/>
  <c r="BQ28" i="6"/>
  <c r="CL28" i="6"/>
  <c r="BP28" i="6"/>
  <c r="BO28" i="6"/>
  <c r="CJ28" i="6"/>
  <c r="CM12" i="6"/>
  <c r="CM18" i="6"/>
  <c r="CM19" i="6"/>
  <c r="CM21" i="6"/>
  <c r="CM22" i="6"/>
  <c r="CM23" i="6"/>
  <c r="CM24" i="6"/>
  <c r="CM25" i="6"/>
  <c r="BJ28" i="6"/>
  <c r="CA28" i="6"/>
  <c r="BI28" i="6"/>
  <c r="CC28" i="6"/>
  <c r="BY28" i="6"/>
  <c r="BE28" i="6"/>
  <c r="BG28" i="6"/>
  <c r="CD28" i="6"/>
  <c r="BL28" i="6"/>
  <c r="BH28" i="6"/>
  <c r="CB28" i="6"/>
  <c r="CE28" i="6"/>
  <c r="BF28" i="6"/>
  <c r="BX28" i="6"/>
  <c r="BV28" i="6"/>
  <c r="BZ28" i="6"/>
  <c r="BW28" i="6"/>
  <c r="BK28" i="6"/>
  <c r="BC28" i="6"/>
  <c r="BD28" i="6"/>
  <c r="M30" i="6"/>
  <c r="AV30" i="6" s="1"/>
  <c r="A31" i="6"/>
  <c r="H31" i="6"/>
  <c r="G30" i="12"/>
  <c r="W12" i="9"/>
  <c r="V11" i="9"/>
  <c r="W12" i="10"/>
  <c r="V11" i="10"/>
  <c r="L32" i="12" l="1"/>
  <c r="K32" i="12" s="1"/>
  <c r="BS27" i="6"/>
  <c r="T31" i="5"/>
  <c r="G31" i="12" s="1"/>
  <c r="I14" i="11"/>
  <c r="H14" i="13" s="1"/>
  <c r="G33" i="5"/>
  <c r="G34" i="5" s="1"/>
  <c r="AD33" i="5"/>
  <c r="H33" i="5"/>
  <c r="H34" i="5" s="1"/>
  <c r="B33" i="5"/>
  <c r="B34" i="5" s="1"/>
  <c r="F33" i="5"/>
  <c r="F34" i="5" s="1"/>
  <c r="B33" i="6"/>
  <c r="AE33" i="5"/>
  <c r="E33" i="5"/>
  <c r="E34" i="5" s="1"/>
  <c r="N33" i="5"/>
  <c r="D33" i="6" s="1"/>
  <c r="A33" i="12"/>
  <c r="W33" i="5"/>
  <c r="H33" i="12" s="1"/>
  <c r="AZ29" i="6"/>
  <c r="BA29" i="6"/>
  <c r="CJ29" i="6"/>
  <c r="BI29" i="6"/>
  <c r="BD29" i="6"/>
  <c r="BX29" i="6"/>
  <c r="CK29" i="6"/>
  <c r="BK29" i="6"/>
  <c r="CD29" i="6"/>
  <c r="BZ29" i="6"/>
  <c r="BV29" i="6"/>
  <c r="BY29" i="6"/>
  <c r="BM29" i="6"/>
  <c r="BQ29" i="6"/>
  <c r="BL29" i="6"/>
  <c r="CF29" i="6"/>
  <c r="BE29" i="6"/>
  <c r="CB29" i="6"/>
  <c r="CI29" i="6"/>
  <c r="BS29" i="6"/>
  <c r="BO29" i="6"/>
  <c r="BF29" i="6"/>
  <c r="BW29" i="6"/>
  <c r="BG29" i="6"/>
  <c r="BC29" i="6"/>
  <c r="CG29" i="6"/>
  <c r="BJ29" i="6"/>
  <c r="BP29" i="6"/>
  <c r="CL29" i="6"/>
  <c r="CM29" i="6"/>
  <c r="BH29" i="6"/>
  <c r="CE29" i="6"/>
  <c r="CA29" i="6"/>
  <c r="CH29" i="6"/>
  <c r="BR29" i="6"/>
  <c r="CC29" i="6"/>
  <c r="BN29" i="6"/>
  <c r="AX29" i="6"/>
  <c r="AW29" i="6"/>
  <c r="AY29" i="6"/>
  <c r="AW30" i="6"/>
  <c r="AX30" i="6"/>
  <c r="BS12" i="6"/>
  <c r="BT13" i="6"/>
  <c r="BS14" i="6"/>
  <c r="BS18" i="6"/>
  <c r="BS19" i="6"/>
  <c r="BS21" i="6"/>
  <c r="BS23" i="6"/>
  <c r="BS22" i="6"/>
  <c r="BS24" i="6"/>
  <c r="BS25" i="6"/>
  <c r="BS26" i="6"/>
  <c r="AT30" i="6"/>
  <c r="BA16" i="6"/>
  <c r="BA17" i="6"/>
  <c r="BA18" i="6"/>
  <c r="BA19" i="6"/>
  <c r="BA20" i="6"/>
  <c r="BA21" i="6"/>
  <c r="BA22" i="6"/>
  <c r="BA23" i="6"/>
  <c r="BA24" i="6"/>
  <c r="BA25" i="6"/>
  <c r="BA26" i="6"/>
  <c r="BA28" i="6"/>
  <c r="BA30" i="6"/>
  <c r="AY30" i="6"/>
  <c r="AZ16" i="6"/>
  <c r="AZ17" i="6"/>
  <c r="AZ18" i="6"/>
  <c r="AZ19" i="6"/>
  <c r="AZ20" i="6"/>
  <c r="AZ21" i="6"/>
  <c r="AZ22" i="6"/>
  <c r="AZ23" i="6"/>
  <c r="AZ24" i="6"/>
  <c r="AZ25" i="6"/>
  <c r="AZ26" i="6"/>
  <c r="AZ28" i="6"/>
  <c r="AZ30" i="6"/>
  <c r="AU30" i="6"/>
  <c r="M31" i="6"/>
  <c r="A32" i="6"/>
  <c r="BY30" i="6"/>
  <c r="N31" i="6"/>
  <c r="BX30" i="6"/>
  <c r="BK30" i="6"/>
  <c r="AN30" i="6"/>
  <c r="BW30" i="6"/>
  <c r="CD30" i="6"/>
  <c r="AJ30" i="6"/>
  <c r="CA30" i="6"/>
  <c r="BG30" i="6"/>
  <c r="BH30" i="6"/>
  <c r="CB30" i="6"/>
  <c r="CE30" i="6"/>
  <c r="AP30" i="6"/>
  <c r="AQ30" i="6"/>
  <c r="BJ30" i="6"/>
  <c r="BL30" i="6"/>
  <c r="BD30" i="6"/>
  <c r="BC30" i="6"/>
  <c r="AR30" i="6"/>
  <c r="BE30" i="6"/>
  <c r="BI30" i="6"/>
  <c r="AK30" i="6"/>
  <c r="CC30" i="6"/>
  <c r="AL30" i="6"/>
  <c r="BZ30" i="6"/>
  <c r="AS30" i="6"/>
  <c r="BV30" i="6"/>
  <c r="BF30" i="6"/>
  <c r="AO30" i="6"/>
  <c r="E33" i="12"/>
  <c r="F33" i="6"/>
  <c r="A34" i="12"/>
  <c r="B34" i="6"/>
  <c r="C35" i="5"/>
  <c r="N34" i="5"/>
  <c r="D34" i="5"/>
  <c r="B34" i="12" s="1"/>
  <c r="AE34" i="5"/>
  <c r="J34" i="5"/>
  <c r="AD34" i="5"/>
  <c r="K34" i="5"/>
  <c r="I30" i="5"/>
  <c r="H32" i="6"/>
  <c r="T32" i="5" s="1"/>
  <c r="W11" i="10"/>
  <c r="X12" i="10"/>
  <c r="W11" i="9"/>
  <c r="X12" i="9"/>
  <c r="BT29" i="6" l="1"/>
  <c r="BT27" i="6"/>
  <c r="CM33" i="6"/>
  <c r="CL33" i="6"/>
  <c r="CK33" i="6"/>
  <c r="CJ33" i="6"/>
  <c r="CI33" i="6"/>
  <c r="BT33" i="6"/>
  <c r="CH33" i="6"/>
  <c r="BS33" i="6"/>
  <c r="CG33" i="6"/>
  <c r="BR33" i="6"/>
  <c r="CF33" i="6"/>
  <c r="BQ33" i="6"/>
  <c r="BN33" i="6"/>
  <c r="BP33" i="6"/>
  <c r="BO33" i="6"/>
  <c r="BM33" i="6"/>
  <c r="BT12" i="6"/>
  <c r="BT14" i="6"/>
  <c r="BT18" i="6"/>
  <c r="BT19" i="6"/>
  <c r="BT21" i="6"/>
  <c r="BT23" i="6"/>
  <c r="BT22" i="6"/>
  <c r="BT24" i="6"/>
  <c r="BT25" i="6"/>
  <c r="BT26" i="6"/>
  <c r="BT28" i="6"/>
  <c r="CH31" i="6"/>
  <c r="BQ31" i="6"/>
  <c r="CM31" i="6"/>
  <c r="BS31" i="6"/>
  <c r="CL31" i="6"/>
  <c r="CF31" i="6"/>
  <c r="BP31" i="6"/>
  <c r="BR31" i="6"/>
  <c r="BO31" i="6"/>
  <c r="CK31" i="6"/>
  <c r="BN31" i="6"/>
  <c r="CJ31" i="6"/>
  <c r="CI31" i="6"/>
  <c r="CG31" i="6"/>
  <c r="BM31" i="6"/>
  <c r="BT31" i="6"/>
  <c r="AX31" i="6"/>
  <c r="AZ31" i="6"/>
  <c r="AY31" i="6"/>
  <c r="BA31" i="6"/>
  <c r="BE31" i="6"/>
  <c r="CA31" i="6"/>
  <c r="BZ31" i="6"/>
  <c r="BW31" i="6"/>
  <c r="CB31" i="6"/>
  <c r="BF31" i="6"/>
  <c r="BC31" i="6"/>
  <c r="BY31" i="6"/>
  <c r="BL31" i="6"/>
  <c r="CD31" i="6"/>
  <c r="CE31" i="6"/>
  <c r="BH31" i="6"/>
  <c r="BV31" i="6"/>
  <c r="BX31" i="6"/>
  <c r="BG31" i="6"/>
  <c r="BD31" i="6"/>
  <c r="BI31" i="6"/>
  <c r="CC31" i="6"/>
  <c r="BJ31" i="6"/>
  <c r="BK31" i="6"/>
  <c r="A33" i="6"/>
  <c r="N33" i="6" s="1"/>
  <c r="N32" i="6"/>
  <c r="M32" i="6"/>
  <c r="G32" i="12"/>
  <c r="L34" i="12"/>
  <c r="J34" i="12"/>
  <c r="D34" i="6"/>
  <c r="A35" i="12"/>
  <c r="B35" i="6"/>
  <c r="N35" i="5"/>
  <c r="J35" i="5"/>
  <c r="F35" i="5"/>
  <c r="B35" i="5"/>
  <c r="C36" i="5" s="1"/>
  <c r="AE35" i="5"/>
  <c r="AD35" i="5"/>
  <c r="H35" i="5"/>
  <c r="E35" i="5"/>
  <c r="D35" i="5"/>
  <c r="B35" i="12" s="1"/>
  <c r="G35" i="5"/>
  <c r="K35" i="5"/>
  <c r="H33" i="6"/>
  <c r="T33" i="5" s="1"/>
  <c r="G33" i="6"/>
  <c r="X11" i="9"/>
  <c r="Y12" i="9"/>
  <c r="Y12" i="10"/>
  <c r="X11" i="10"/>
  <c r="AF36" i="5"/>
  <c r="BO32" i="6" l="1"/>
  <c r="CJ32" i="6"/>
  <c r="CI32" i="6"/>
  <c r="BT32" i="6"/>
  <c r="BN32" i="6"/>
  <c r="CH32" i="6"/>
  <c r="BS32" i="6"/>
  <c r="BM32" i="6"/>
  <c r="CG32" i="6"/>
  <c r="BR32" i="6"/>
  <c r="CM32" i="6"/>
  <c r="CF32" i="6"/>
  <c r="BQ32" i="6"/>
  <c r="CK32" i="6"/>
  <c r="CL32" i="6"/>
  <c r="BP32" i="6"/>
  <c r="BA32" i="6"/>
  <c r="AX32" i="6"/>
  <c r="AZ32" i="6"/>
  <c r="AY32" i="6"/>
  <c r="CA32" i="6"/>
  <c r="S36" i="5"/>
  <c r="F36" i="12" s="1"/>
  <c r="AG36" i="5"/>
  <c r="BW32" i="6"/>
  <c r="CC32" i="6"/>
  <c r="BC32" i="6"/>
  <c r="BK32" i="6"/>
  <c r="CB32" i="6"/>
  <c r="CD32" i="6"/>
  <c r="M33" i="6"/>
  <c r="BX33" i="6" s="1"/>
  <c r="BL32" i="6"/>
  <c r="BV32" i="6"/>
  <c r="BH32" i="6"/>
  <c r="BX32" i="6"/>
  <c r="BG32" i="6"/>
  <c r="CE32" i="6"/>
  <c r="BD32" i="6"/>
  <c r="BI32" i="6"/>
  <c r="BY32" i="6"/>
  <c r="BE32" i="6"/>
  <c r="BJ32" i="6"/>
  <c r="BZ32" i="6"/>
  <c r="BF32" i="6"/>
  <c r="L35" i="12"/>
  <c r="J35" i="12"/>
  <c r="K34" i="12"/>
  <c r="A36" i="12"/>
  <c r="B36" i="6"/>
  <c r="B36" i="5"/>
  <c r="W36" i="5"/>
  <c r="H36" i="12" s="1"/>
  <c r="C37" i="5"/>
  <c r="N36" i="5"/>
  <c r="E36" i="5"/>
  <c r="AE36" i="5"/>
  <c r="G36" i="5"/>
  <c r="F36" i="5"/>
  <c r="AD36" i="5"/>
  <c r="H36" i="5"/>
  <c r="H34" i="6"/>
  <c r="T34" i="5" s="1"/>
  <c r="G33" i="12"/>
  <c r="D35" i="6"/>
  <c r="A34" i="6"/>
  <c r="Y11" i="10"/>
  <c r="Z12" i="10"/>
  <c r="Y11" i="9"/>
  <c r="Z12" i="9"/>
  <c r="U36" i="5" l="1"/>
  <c r="AN36" i="5" s="1"/>
  <c r="AX33" i="6"/>
  <c r="AT33" i="6"/>
  <c r="BA33" i="6"/>
  <c r="AY33" i="6"/>
  <c r="AW33" i="6"/>
  <c r="AV33" i="6"/>
  <c r="AZ33" i="6"/>
  <c r="AU33" i="6"/>
  <c r="AK33" i="6"/>
  <c r="BK33" i="6"/>
  <c r="BG33" i="6"/>
  <c r="BF33" i="6"/>
  <c r="BH33" i="6"/>
  <c r="AR33" i="6"/>
  <c r="BD33" i="6"/>
  <c r="AO33" i="6"/>
  <c r="BL33" i="6"/>
  <c r="AQ33" i="6"/>
  <c r="CC33" i="6"/>
  <c r="BY33" i="6"/>
  <c r="BJ33" i="6"/>
  <c r="BI33" i="6"/>
  <c r="BE33" i="6"/>
  <c r="CD33" i="6"/>
  <c r="BV33" i="6"/>
  <c r="CE33" i="6"/>
  <c r="AL33" i="6"/>
  <c r="AP33" i="6"/>
  <c r="BZ33" i="6"/>
  <c r="BW33" i="6"/>
  <c r="AS33" i="6"/>
  <c r="AN33" i="6"/>
  <c r="BC33" i="6"/>
  <c r="CB33" i="6"/>
  <c r="CA33" i="6"/>
  <c r="AJ33" i="6"/>
  <c r="A35" i="6"/>
  <c r="N35" i="6" s="1"/>
  <c r="K35" i="12"/>
  <c r="H35" i="6"/>
  <c r="T35" i="5" s="1"/>
  <c r="D36" i="6"/>
  <c r="G34" i="12"/>
  <c r="A37" i="12"/>
  <c r="B37" i="6"/>
  <c r="C38" i="5"/>
  <c r="N37" i="5"/>
  <c r="J37" i="5"/>
  <c r="H37" i="5"/>
  <c r="F37" i="5"/>
  <c r="B37" i="5"/>
  <c r="AE37" i="5"/>
  <c r="AD37" i="5"/>
  <c r="K37" i="5"/>
  <c r="G37" i="5"/>
  <c r="E37" i="5"/>
  <c r="D37" i="5"/>
  <c r="B37" i="12" s="1"/>
  <c r="E36" i="12"/>
  <c r="F36" i="6"/>
  <c r="M34" i="6"/>
  <c r="BA34" i="6" s="1"/>
  <c r="N34" i="6"/>
  <c r="I33" i="5"/>
  <c r="Z11" i="10"/>
  <c r="AA12" i="10"/>
  <c r="Z11" i="9"/>
  <c r="AA12" i="9"/>
  <c r="AY34" i="6" l="1"/>
  <c r="CM36" i="6"/>
  <c r="CL36" i="6"/>
  <c r="CK36" i="6"/>
  <c r="CJ36" i="6"/>
  <c r="CI36" i="6"/>
  <c r="BT36" i="6"/>
  <c r="CH36" i="6"/>
  <c r="BS36" i="6"/>
  <c r="CG36" i="6"/>
  <c r="BR36" i="6"/>
  <c r="CF36" i="6"/>
  <c r="BQ36" i="6"/>
  <c r="BP36" i="6"/>
  <c r="BO36" i="6"/>
  <c r="BN36" i="6"/>
  <c r="BM36" i="6"/>
  <c r="AX34" i="6"/>
  <c r="CK34" i="6"/>
  <c r="BO34" i="6"/>
  <c r="CJ34" i="6"/>
  <c r="CG34" i="6"/>
  <c r="BN34" i="6"/>
  <c r="CI34" i="6"/>
  <c r="BT34" i="6"/>
  <c r="BM34" i="6"/>
  <c r="BR34" i="6"/>
  <c r="CH34" i="6"/>
  <c r="CM34" i="6"/>
  <c r="BS34" i="6"/>
  <c r="BQ34" i="6"/>
  <c r="CL34" i="6"/>
  <c r="CF34" i="6"/>
  <c r="BP34" i="6"/>
  <c r="AZ34" i="6"/>
  <c r="A36" i="6"/>
  <c r="M35" i="6"/>
  <c r="D37" i="6"/>
  <c r="BY34" i="6"/>
  <c r="BH34" i="6"/>
  <c r="BZ34" i="6"/>
  <c r="BJ34" i="6"/>
  <c r="BG34" i="6"/>
  <c r="CC34" i="6"/>
  <c r="BE34" i="6"/>
  <c r="BI34" i="6"/>
  <c r="BL34" i="6"/>
  <c r="CE34" i="6"/>
  <c r="CD34" i="6"/>
  <c r="BX34" i="6"/>
  <c r="BV34" i="6"/>
  <c r="CB34" i="6"/>
  <c r="CA34" i="6"/>
  <c r="BD34" i="6"/>
  <c r="BW34" i="6"/>
  <c r="BC34" i="6"/>
  <c r="BK34" i="6"/>
  <c r="BF34" i="6"/>
  <c r="A38" i="12"/>
  <c r="B38" i="5"/>
  <c r="C39" i="5" s="1"/>
  <c r="B38" i="6"/>
  <c r="N38" i="5"/>
  <c r="F38" i="5"/>
  <c r="D38" i="5"/>
  <c r="B38" i="12" s="1"/>
  <c r="E38" i="5"/>
  <c r="AD38" i="5"/>
  <c r="J38" i="5"/>
  <c r="H38" i="5"/>
  <c r="K38" i="5"/>
  <c r="G38" i="5"/>
  <c r="AE38" i="5"/>
  <c r="L37" i="12"/>
  <c r="J37" i="12"/>
  <c r="G35" i="12"/>
  <c r="G36" i="6"/>
  <c r="H36" i="6"/>
  <c r="T36" i="5" s="1"/>
  <c r="AB12" i="10"/>
  <c r="AA11" i="10"/>
  <c r="AB12" i="9"/>
  <c r="AA11" i="9"/>
  <c r="AF39" i="5"/>
  <c r="CF35" i="6" l="1"/>
  <c r="BQ35" i="6"/>
  <c r="CL35" i="6"/>
  <c r="BP35" i="6"/>
  <c r="CK35" i="6"/>
  <c r="BO35" i="6"/>
  <c r="CJ35" i="6"/>
  <c r="CI35" i="6"/>
  <c r="BT35" i="6"/>
  <c r="BN35" i="6"/>
  <c r="CH35" i="6"/>
  <c r="BS35" i="6"/>
  <c r="BM35" i="6"/>
  <c r="CG35" i="6"/>
  <c r="BR35" i="6"/>
  <c r="CM35" i="6"/>
  <c r="AZ35" i="6"/>
  <c r="AY35" i="6"/>
  <c r="BA35" i="6"/>
  <c r="AX35" i="6"/>
  <c r="BZ35" i="6"/>
  <c r="AG39" i="5"/>
  <c r="S39" i="5"/>
  <c r="F39" i="12" s="1"/>
  <c r="A37" i="6"/>
  <c r="N37" i="6" s="1"/>
  <c r="N36" i="6"/>
  <c r="BX35" i="6"/>
  <c r="BL35" i="6"/>
  <c r="BY35" i="6"/>
  <c r="M36" i="6"/>
  <c r="AV36" i="6" s="1"/>
  <c r="BW35" i="6"/>
  <c r="CA35" i="6"/>
  <c r="BK35" i="6"/>
  <c r="BJ35" i="6"/>
  <c r="BH35" i="6"/>
  <c r="BG35" i="6"/>
  <c r="BE35" i="6"/>
  <c r="BI35" i="6"/>
  <c r="BV35" i="6"/>
  <c r="CC35" i="6"/>
  <c r="CD35" i="6"/>
  <c r="BC35" i="6"/>
  <c r="CE35" i="6"/>
  <c r="CB35" i="6"/>
  <c r="BF35" i="6"/>
  <c r="BD35" i="6"/>
  <c r="K37" i="12"/>
  <c r="G36" i="12"/>
  <c r="J38" i="12"/>
  <c r="L38" i="12"/>
  <c r="A39" i="12"/>
  <c r="B39" i="6"/>
  <c r="C40" i="5"/>
  <c r="N39" i="5"/>
  <c r="H39" i="5"/>
  <c r="F39" i="5"/>
  <c r="B39" i="5"/>
  <c r="AD39" i="5"/>
  <c r="AE39" i="5"/>
  <c r="W39" i="5"/>
  <c r="H39" i="12" s="1"/>
  <c r="E39" i="5"/>
  <c r="G39" i="5"/>
  <c r="D38" i="6"/>
  <c r="H37" i="6"/>
  <c r="T37" i="5" s="1"/>
  <c r="AB11" i="10"/>
  <c r="AC12" i="10"/>
  <c r="AC12" i="9"/>
  <c r="AB11" i="9"/>
  <c r="U39" i="5" l="1"/>
  <c r="AN39" i="5" s="1"/>
  <c r="AU36" i="6"/>
  <c r="AY36" i="6"/>
  <c r="AX36" i="6"/>
  <c r="BA36" i="6"/>
  <c r="AT36" i="6"/>
  <c r="AZ36" i="6"/>
  <c r="AW36" i="6"/>
  <c r="AO36" i="6"/>
  <c r="M37" i="6"/>
  <c r="K38" i="12"/>
  <c r="A38" i="6"/>
  <c r="AK36" i="6"/>
  <c r="AL36" i="6"/>
  <c r="BX36" i="6"/>
  <c r="BL36" i="6"/>
  <c r="BJ36" i="6"/>
  <c r="CA36" i="6"/>
  <c r="BY36" i="6"/>
  <c r="BK36" i="6"/>
  <c r="BC36" i="6"/>
  <c r="BD36" i="6"/>
  <c r="BW36" i="6"/>
  <c r="BE36" i="6"/>
  <c r="CC36" i="6"/>
  <c r="CE36" i="6"/>
  <c r="BF36" i="6"/>
  <c r="BV36" i="6"/>
  <c r="AS36" i="6"/>
  <c r="AN36" i="6"/>
  <c r="BI36" i="6"/>
  <c r="AR36" i="6"/>
  <c r="CB36" i="6"/>
  <c r="CD36" i="6"/>
  <c r="AJ36" i="6"/>
  <c r="AQ36" i="6"/>
  <c r="BH36" i="6"/>
  <c r="BZ36" i="6"/>
  <c r="BG36" i="6"/>
  <c r="AP36" i="6"/>
  <c r="E39" i="12"/>
  <c r="F39" i="6"/>
  <c r="D39" i="6"/>
  <c r="I36" i="5"/>
  <c r="A40" i="12"/>
  <c r="B40" i="6"/>
  <c r="B40" i="5"/>
  <c r="C41" i="5"/>
  <c r="N40" i="5"/>
  <c r="G40" i="5"/>
  <c r="E40" i="5"/>
  <c r="F40" i="5"/>
  <c r="D40" i="5"/>
  <c r="B40" i="12" s="1"/>
  <c r="AE40" i="5"/>
  <c r="AD40" i="5"/>
  <c r="K40" i="5"/>
  <c r="J40" i="5"/>
  <c r="H40" i="5"/>
  <c r="G37" i="12"/>
  <c r="H38" i="6"/>
  <c r="T38" i="5" s="1"/>
  <c r="AC11" i="10"/>
  <c r="AD12" i="10"/>
  <c r="AC11" i="9"/>
  <c r="AD12" i="9"/>
  <c r="AX37" i="6" l="1"/>
  <c r="CM39" i="6"/>
  <c r="CL39" i="6"/>
  <c r="CK39" i="6"/>
  <c r="CJ39" i="6"/>
  <c r="CI39" i="6"/>
  <c r="BT39" i="6"/>
  <c r="BN39" i="6"/>
  <c r="CH39" i="6"/>
  <c r="BS39" i="6"/>
  <c r="CG39" i="6"/>
  <c r="BR39" i="6"/>
  <c r="CF39" i="6"/>
  <c r="BQ39" i="6"/>
  <c r="BP39" i="6"/>
  <c r="BO39" i="6"/>
  <c r="BM39" i="6"/>
  <c r="BN37" i="6"/>
  <c r="CI37" i="6"/>
  <c r="BM37" i="6"/>
  <c r="BT37" i="6"/>
  <c r="CH37" i="6"/>
  <c r="BR37" i="6"/>
  <c r="BS37" i="6"/>
  <c r="CM37" i="6"/>
  <c r="CG37" i="6"/>
  <c r="BQ37" i="6"/>
  <c r="CL37" i="6"/>
  <c r="CF37" i="6"/>
  <c r="BP37" i="6"/>
  <c r="CK37" i="6"/>
  <c r="BO37" i="6"/>
  <c r="CJ37" i="6"/>
  <c r="BA37" i="6"/>
  <c r="AY37" i="6"/>
  <c r="AZ37" i="6"/>
  <c r="BZ37" i="6"/>
  <c r="M38" i="6"/>
  <c r="AZ38" i="6" s="1"/>
  <c r="BY37" i="6"/>
  <c r="BV37" i="6"/>
  <c r="N38" i="6"/>
  <c r="BI37" i="6"/>
  <c r="CA37" i="6"/>
  <c r="BW37" i="6"/>
  <c r="CB37" i="6"/>
  <c r="A39" i="6"/>
  <c r="N39" i="6" s="1"/>
  <c r="BK37" i="6"/>
  <c r="CC37" i="6"/>
  <c r="BH37" i="6"/>
  <c r="CE37" i="6"/>
  <c r="BX37" i="6"/>
  <c r="BG37" i="6"/>
  <c r="BF37" i="6"/>
  <c r="BE37" i="6"/>
  <c r="BD37" i="6"/>
  <c r="CD37" i="6"/>
  <c r="BJ37" i="6"/>
  <c r="BL37" i="6"/>
  <c r="BC37" i="6"/>
  <c r="G38" i="12"/>
  <c r="D40" i="6"/>
  <c r="A41" i="12"/>
  <c r="B41" i="6"/>
  <c r="N41" i="5"/>
  <c r="J41" i="5"/>
  <c r="H41" i="5"/>
  <c r="F41" i="5"/>
  <c r="E41" i="5"/>
  <c r="D41" i="5"/>
  <c r="B41" i="12" s="1"/>
  <c r="B41" i="5"/>
  <c r="C42" i="5" s="1"/>
  <c r="AE41" i="5"/>
  <c r="AD41" i="5"/>
  <c r="K41" i="5"/>
  <c r="G41" i="5"/>
  <c r="G39" i="6"/>
  <c r="H39" i="6"/>
  <c r="T39" i="5" s="1"/>
  <c r="L40" i="12"/>
  <c r="J40" i="12"/>
  <c r="AD11" i="9"/>
  <c r="AE12" i="9"/>
  <c r="AE11" i="9" s="1"/>
  <c r="AE12" i="10"/>
  <c r="AD11" i="10"/>
  <c r="AF42" i="5"/>
  <c r="AY38" i="6" l="1"/>
  <c r="BA38" i="6"/>
  <c r="CI38" i="6"/>
  <c r="BN38" i="6"/>
  <c r="BT38" i="6"/>
  <c r="CH38" i="6"/>
  <c r="BM38" i="6"/>
  <c r="BS38" i="6"/>
  <c r="CG38" i="6"/>
  <c r="CM38" i="6"/>
  <c r="BR38" i="6"/>
  <c r="CF38" i="6"/>
  <c r="CL38" i="6"/>
  <c r="BQ38" i="6"/>
  <c r="BP38" i="6"/>
  <c r="CK38" i="6"/>
  <c r="BO38" i="6"/>
  <c r="CJ38" i="6"/>
  <c r="AX38" i="6"/>
  <c r="BF38" i="6"/>
  <c r="BG38" i="6"/>
  <c r="BY38" i="6"/>
  <c r="CC38" i="6"/>
  <c r="CE38" i="6"/>
  <c r="CB38" i="6"/>
  <c r="BZ38" i="6"/>
  <c r="BE38" i="6"/>
  <c r="BX38" i="6"/>
  <c r="BL38" i="6"/>
  <c r="CD38" i="6"/>
  <c r="BD38" i="6"/>
  <c r="BK38" i="6"/>
  <c r="BW38" i="6"/>
  <c r="BV38" i="6"/>
  <c r="BC38" i="6"/>
  <c r="BJ38" i="6"/>
  <c r="CA38" i="6"/>
  <c r="BI38" i="6"/>
  <c r="BH38" i="6"/>
  <c r="S42" i="5"/>
  <c r="F42" i="12" s="1"/>
  <c r="AG42" i="5"/>
  <c r="M39" i="6"/>
  <c r="BA39" i="6" s="1"/>
  <c r="A40" i="6"/>
  <c r="N40" i="6" s="1"/>
  <c r="K40" i="12"/>
  <c r="H40" i="6"/>
  <c r="T40" i="5" s="1"/>
  <c r="J41" i="12"/>
  <c r="L41" i="12"/>
  <c r="D41" i="6"/>
  <c r="G39" i="12"/>
  <c r="A42" i="12"/>
  <c r="B42" i="6"/>
  <c r="B42" i="5"/>
  <c r="W42" i="5"/>
  <c r="H42" i="12" s="1"/>
  <c r="C43" i="5"/>
  <c r="N42" i="5"/>
  <c r="H42" i="5"/>
  <c r="F42" i="5"/>
  <c r="G42" i="5"/>
  <c r="E42" i="5"/>
  <c r="AE42" i="5"/>
  <c r="AD42" i="5"/>
  <c r="AE11" i="10"/>
  <c r="AF12" i="10"/>
  <c r="AF11" i="10" s="1"/>
  <c r="U42" i="5" l="1"/>
  <c r="AN42" i="5" s="1"/>
  <c r="AY39" i="6"/>
  <c r="AX39" i="6"/>
  <c r="AW39" i="6"/>
  <c r="AV39" i="6"/>
  <c r="AZ39" i="6"/>
  <c r="AU39" i="6"/>
  <c r="AT39" i="6"/>
  <c r="BL39" i="6"/>
  <c r="M40" i="6"/>
  <c r="AX40" i="6" s="1"/>
  <c r="BE39" i="6"/>
  <c r="CB39" i="6"/>
  <c r="CE39" i="6"/>
  <c r="BG39" i="6"/>
  <c r="BY39" i="6"/>
  <c r="BW39" i="6"/>
  <c r="AR39" i="6"/>
  <c r="AJ39" i="6"/>
  <c r="BI39" i="6"/>
  <c r="BX39" i="6"/>
  <c r="AS39" i="6"/>
  <c r="CA39" i="6"/>
  <c r="BD39" i="6"/>
  <c r="BV39" i="6"/>
  <c r="AO39" i="6"/>
  <c r="BZ39" i="6"/>
  <c r="BJ39" i="6"/>
  <c r="BC39" i="6"/>
  <c r="BF39" i="6"/>
  <c r="AL39" i="6"/>
  <c r="CC39" i="6"/>
  <c r="CD39" i="6"/>
  <c r="BH39" i="6"/>
  <c r="AP39" i="6"/>
  <c r="AQ39" i="6"/>
  <c r="BK39" i="6"/>
  <c r="AN39" i="6"/>
  <c r="AK39" i="6"/>
  <c r="K41" i="12"/>
  <c r="I39" i="5"/>
  <c r="G40" i="12"/>
  <c r="E42" i="12"/>
  <c r="F42" i="6"/>
  <c r="D42" i="6"/>
  <c r="H41" i="6"/>
  <c r="T41" i="5" s="1"/>
  <c r="A43" i="12"/>
  <c r="B43" i="6"/>
  <c r="C44" i="5"/>
  <c r="N43" i="5"/>
  <c r="K43" i="5"/>
  <c r="J43" i="5"/>
  <c r="H43" i="5"/>
  <c r="F43" i="5"/>
  <c r="E43" i="5"/>
  <c r="G43" i="5"/>
  <c r="D43" i="5"/>
  <c r="B43" i="12" s="1"/>
  <c r="B43" i="5"/>
  <c r="AE43" i="5"/>
  <c r="AD43" i="5"/>
  <c r="A41" i="6"/>
  <c r="N41" i="6" s="1"/>
  <c r="AY40" i="6" l="1"/>
  <c r="CJ40" i="6"/>
  <c r="BN40" i="6"/>
  <c r="CI40" i="6"/>
  <c r="BR40" i="6"/>
  <c r="BT40" i="6"/>
  <c r="BM40" i="6"/>
  <c r="CH40" i="6"/>
  <c r="BS40" i="6"/>
  <c r="CM40" i="6"/>
  <c r="CG40" i="6"/>
  <c r="CF40" i="6"/>
  <c r="CL40" i="6"/>
  <c r="BQ40" i="6"/>
  <c r="BP40" i="6"/>
  <c r="CK40" i="6"/>
  <c r="BO40" i="6"/>
  <c r="AZ40" i="6"/>
  <c r="BA40" i="6"/>
  <c r="CM42" i="6"/>
  <c r="CL42" i="6"/>
  <c r="CK42" i="6"/>
  <c r="CJ42" i="6"/>
  <c r="CI42" i="6"/>
  <c r="BT42" i="6"/>
  <c r="CH42" i="6"/>
  <c r="BS42" i="6"/>
  <c r="CG42" i="6"/>
  <c r="BR42" i="6"/>
  <c r="CF42" i="6"/>
  <c r="BQ42" i="6"/>
  <c r="BP42" i="6"/>
  <c r="BN42" i="6"/>
  <c r="BO42" i="6"/>
  <c r="BM42" i="6"/>
  <c r="CA40" i="6"/>
  <c r="BZ40" i="6"/>
  <c r="BD40" i="6"/>
  <c r="CC40" i="6"/>
  <c r="BK40" i="6"/>
  <c r="BW40" i="6"/>
  <c r="CE40" i="6"/>
  <c r="BJ40" i="6"/>
  <c r="BV40" i="6"/>
  <c r="CB40" i="6"/>
  <c r="BH40" i="6"/>
  <c r="BX40" i="6"/>
  <c r="BG40" i="6"/>
  <c r="BI40" i="6"/>
  <c r="BY40" i="6"/>
  <c r="BC40" i="6"/>
  <c r="BL40" i="6"/>
  <c r="BF40" i="6"/>
  <c r="BE40" i="6"/>
  <c r="CD40" i="6"/>
  <c r="M41" i="6"/>
  <c r="L43" i="12"/>
  <c r="J43" i="12"/>
  <c r="G41" i="12"/>
  <c r="G42" i="6"/>
  <c r="H42" i="6"/>
  <c r="T42" i="5" s="1"/>
  <c r="A42" i="6"/>
  <c r="D43" i="6"/>
  <c r="A44" i="12"/>
  <c r="B44" i="6"/>
  <c r="B44" i="5"/>
  <c r="C45" i="5"/>
  <c r="N44" i="5"/>
  <c r="K44" i="5"/>
  <c r="J44" i="5"/>
  <c r="H44" i="5"/>
  <c r="G44" i="5"/>
  <c r="D44" i="5"/>
  <c r="B44" i="12" s="1"/>
  <c r="F44" i="5"/>
  <c r="E44" i="5"/>
  <c r="AD44" i="5"/>
  <c r="AE44" i="5"/>
  <c r="BS41" i="6" l="1"/>
  <c r="CG41" i="6"/>
  <c r="CM41" i="6"/>
  <c r="BR41" i="6"/>
  <c r="CF41" i="6"/>
  <c r="BQ41" i="6"/>
  <c r="CL41" i="6"/>
  <c r="BP41" i="6"/>
  <c r="CK41" i="6"/>
  <c r="BO41" i="6"/>
  <c r="CJ41" i="6"/>
  <c r="CI41" i="6"/>
  <c r="BN41" i="6"/>
  <c r="BT41" i="6"/>
  <c r="CH41" i="6"/>
  <c r="BM41" i="6"/>
  <c r="BA41" i="6"/>
  <c r="AX41" i="6"/>
  <c r="AZ41" i="6"/>
  <c r="AY41" i="6"/>
  <c r="BF41" i="6"/>
  <c r="BL41" i="6"/>
  <c r="CE41" i="6"/>
  <c r="CD41" i="6"/>
  <c r="BJ41" i="6"/>
  <c r="BH41" i="6"/>
  <c r="BW41" i="6"/>
  <c r="BG41" i="6"/>
  <c r="BC41" i="6"/>
  <c r="BI41" i="6"/>
  <c r="BV41" i="6"/>
  <c r="BZ41" i="6"/>
  <c r="BD41" i="6"/>
  <c r="CA41" i="6"/>
  <c r="CB41" i="6"/>
  <c r="CC41" i="6"/>
  <c r="BX41" i="6"/>
  <c r="BY41" i="6"/>
  <c r="BK41" i="6"/>
  <c r="BE41" i="6"/>
  <c r="A43" i="6"/>
  <c r="N43" i="6" s="1"/>
  <c r="L44" i="12"/>
  <c r="J44" i="12"/>
  <c r="K43" i="12"/>
  <c r="M42" i="6"/>
  <c r="AW42" i="6" s="1"/>
  <c r="N42" i="6"/>
  <c r="G42" i="12"/>
  <c r="D44" i="6"/>
  <c r="A45" i="12"/>
  <c r="B45" i="6"/>
  <c r="C46" i="5"/>
  <c r="N45" i="5"/>
  <c r="K45" i="5"/>
  <c r="J45" i="5"/>
  <c r="H45" i="5"/>
  <c r="F45" i="5"/>
  <c r="G45" i="5"/>
  <c r="E45" i="5"/>
  <c r="D45" i="5"/>
  <c r="B45" i="12" s="1"/>
  <c r="B45" i="5"/>
  <c r="AE45" i="5"/>
  <c r="AD45" i="5"/>
  <c r="H43" i="6"/>
  <c r="T43" i="5" s="1"/>
  <c r="AV42" i="6" l="1"/>
  <c r="AY42" i="6"/>
  <c r="AU42" i="6"/>
  <c r="AZ42" i="6"/>
  <c r="BA42" i="6"/>
  <c r="AT42" i="6"/>
  <c r="AX42" i="6"/>
  <c r="M43" i="6"/>
  <c r="AL42" i="6"/>
  <c r="AN42" i="6"/>
  <c r="AJ42" i="6"/>
  <c r="H44" i="6"/>
  <c r="T44" i="5" s="1"/>
  <c r="I42" i="5"/>
  <c r="K44" i="12"/>
  <c r="BW42" i="6"/>
  <c r="CC42" i="6"/>
  <c r="BD42" i="6"/>
  <c r="AQ42" i="6"/>
  <c r="AP42" i="6"/>
  <c r="CB42" i="6"/>
  <c r="CE42" i="6"/>
  <c r="BV42" i="6"/>
  <c r="CA42" i="6"/>
  <c r="BF42" i="6"/>
  <c r="BC42" i="6"/>
  <c r="AO42" i="6"/>
  <c r="BZ42" i="6"/>
  <c r="BE42" i="6"/>
  <c r="BL42" i="6"/>
  <c r="CD42" i="6"/>
  <c r="AR42" i="6"/>
  <c r="BY42" i="6"/>
  <c r="BI42" i="6"/>
  <c r="AS42" i="6"/>
  <c r="BJ42" i="6"/>
  <c r="BX42" i="6"/>
  <c r="BH42" i="6"/>
  <c r="BK42" i="6"/>
  <c r="BG42" i="6"/>
  <c r="L45" i="12"/>
  <c r="J45" i="12"/>
  <c r="G43" i="12"/>
  <c r="D45" i="6"/>
  <c r="A44" i="6"/>
  <c r="AK42" i="6"/>
  <c r="A46" i="12"/>
  <c r="B46" i="6"/>
  <c r="B46" i="5"/>
  <c r="C47" i="5"/>
  <c r="N46" i="5"/>
  <c r="K46" i="5"/>
  <c r="J46" i="5"/>
  <c r="G46" i="5"/>
  <c r="H46" i="5"/>
  <c r="E46" i="5"/>
  <c r="D46" i="5"/>
  <c r="B46" i="12" s="1"/>
  <c r="AE46" i="5"/>
  <c r="AD46" i="5"/>
  <c r="F46" i="5"/>
  <c r="AX43" i="6" l="1"/>
  <c r="BN43" i="6"/>
  <c r="CI43" i="6"/>
  <c r="BM43" i="6"/>
  <c r="BT43" i="6"/>
  <c r="CH43" i="6"/>
  <c r="CM43" i="6"/>
  <c r="BS43" i="6"/>
  <c r="CG43" i="6"/>
  <c r="CL43" i="6"/>
  <c r="CF43" i="6"/>
  <c r="BQ43" i="6"/>
  <c r="BP43" i="6"/>
  <c r="BR43" i="6"/>
  <c r="CK43" i="6"/>
  <c r="BO43" i="6"/>
  <c r="CJ43" i="6"/>
  <c r="BA43" i="6"/>
  <c r="AY43" i="6"/>
  <c r="AZ43" i="6"/>
  <c r="CD43" i="6"/>
  <c r="BX43" i="6"/>
  <c r="CC43" i="6"/>
  <c r="CA43" i="6"/>
  <c r="BF43" i="6"/>
  <c r="BY43" i="6"/>
  <c r="CB43" i="6"/>
  <c r="BJ43" i="6"/>
  <c r="BW43" i="6"/>
  <c r="BV43" i="6"/>
  <c r="BL43" i="6"/>
  <c r="BI43" i="6"/>
  <c r="K45" i="12"/>
  <c r="BK43" i="6"/>
  <c r="CE43" i="6"/>
  <c r="BZ43" i="6"/>
  <c r="BG43" i="6"/>
  <c r="BE43" i="6"/>
  <c r="BD43" i="6"/>
  <c r="BC43" i="6"/>
  <c r="BH43" i="6"/>
  <c r="A45" i="6"/>
  <c r="N45" i="6" s="1"/>
  <c r="D46" i="6"/>
  <c r="G44" i="12"/>
  <c r="N44" i="6"/>
  <c r="A47" i="12"/>
  <c r="B47" i="6"/>
  <c r="C48" i="5"/>
  <c r="N47" i="5"/>
  <c r="K47" i="5"/>
  <c r="J47" i="5"/>
  <c r="H47" i="5"/>
  <c r="F47" i="5"/>
  <c r="G47" i="5"/>
  <c r="D47" i="5"/>
  <c r="B47" i="12" s="1"/>
  <c r="B47" i="5"/>
  <c r="AE47" i="5"/>
  <c r="AD47" i="5"/>
  <c r="E47" i="5"/>
  <c r="L46" i="12"/>
  <c r="J46" i="12"/>
  <c r="H45" i="6"/>
  <c r="T45" i="5" s="1"/>
  <c r="M44" i="6"/>
  <c r="CH44" i="6" l="1"/>
  <c r="BS44" i="6"/>
  <c r="BM44" i="6"/>
  <c r="CG44" i="6"/>
  <c r="CM44" i="6"/>
  <c r="BR44" i="6"/>
  <c r="CF44" i="6"/>
  <c r="CL44" i="6"/>
  <c r="BQ44" i="6"/>
  <c r="BP44" i="6"/>
  <c r="CK44" i="6"/>
  <c r="CJ44" i="6"/>
  <c r="BO44" i="6"/>
  <c r="CI44" i="6"/>
  <c r="BT44" i="6"/>
  <c r="BN44" i="6"/>
  <c r="AY44" i="6"/>
  <c r="BA44" i="6"/>
  <c r="AX44" i="6"/>
  <c r="AZ44" i="6"/>
  <c r="A46" i="6"/>
  <c r="M46" i="6" s="1"/>
  <c r="CC46" i="6" s="1"/>
  <c r="M45" i="6"/>
  <c r="L47" i="12"/>
  <c r="J47" i="12"/>
  <c r="H46" i="6"/>
  <c r="T46" i="5" s="1"/>
  <c r="K46" i="12"/>
  <c r="G45" i="12"/>
  <c r="D47" i="6"/>
  <c r="BD44" i="6"/>
  <c r="BZ44" i="6"/>
  <c r="BY44" i="6"/>
  <c r="BC44" i="6"/>
  <c r="BX44" i="6"/>
  <c r="BE44" i="6"/>
  <c r="BW44" i="6"/>
  <c r="BI44" i="6"/>
  <c r="CA44" i="6"/>
  <c r="BF44" i="6"/>
  <c r="BG44" i="6"/>
  <c r="BV44" i="6"/>
  <c r="CB44" i="6"/>
  <c r="BL44" i="6"/>
  <c r="CE44" i="6"/>
  <c r="BK44" i="6"/>
  <c r="CD44" i="6"/>
  <c r="CC44" i="6"/>
  <c r="BJ44" i="6"/>
  <c r="BH44" i="6"/>
  <c r="A48" i="12"/>
  <c r="B48" i="6"/>
  <c r="B48" i="5"/>
  <c r="C49" i="5" s="1"/>
  <c r="AE49" i="5" s="1"/>
  <c r="N48" i="5"/>
  <c r="AE48" i="5"/>
  <c r="AD48" i="5"/>
  <c r="J48" i="5"/>
  <c r="K48" i="5"/>
  <c r="H48" i="5"/>
  <c r="G48" i="5"/>
  <c r="E48" i="5"/>
  <c r="F48" i="5"/>
  <c r="D48" i="5"/>
  <c r="B48" i="12" s="1"/>
  <c r="AF49" i="5"/>
  <c r="S49" i="5" l="1"/>
  <c r="F49" i="12" s="1"/>
  <c r="AG49" i="5"/>
  <c r="U49" i="5" s="1"/>
  <c r="AN49" i="5" s="1"/>
  <c r="W49" i="5"/>
  <c r="H49" i="12" s="1"/>
  <c r="H49" i="5"/>
  <c r="E49" i="12"/>
  <c r="C50" i="5"/>
  <c r="A50" i="12" s="1"/>
  <c r="AD49" i="5"/>
  <c r="F49" i="5"/>
  <c r="G49" i="5"/>
  <c r="B49" i="5"/>
  <c r="B49" i="6"/>
  <c r="A49" i="12"/>
  <c r="N49" i="5"/>
  <c r="D49" i="6" s="1"/>
  <c r="E49" i="5"/>
  <c r="CJ45" i="6"/>
  <c r="BO45" i="6"/>
  <c r="CI45" i="6"/>
  <c r="BT45" i="6"/>
  <c r="BM45" i="6"/>
  <c r="CM45" i="6"/>
  <c r="CH45" i="6"/>
  <c r="BS45" i="6"/>
  <c r="CL45" i="6"/>
  <c r="CG45" i="6"/>
  <c r="BR45" i="6"/>
  <c r="BN45" i="6"/>
  <c r="CF45" i="6"/>
  <c r="CK45" i="6"/>
  <c r="BQ45" i="6"/>
  <c r="BP45" i="6"/>
  <c r="BA46" i="6"/>
  <c r="AX45" i="6"/>
  <c r="CK46" i="6"/>
  <c r="BP46" i="6"/>
  <c r="BQ46" i="6"/>
  <c r="CF46" i="6"/>
  <c r="CL46" i="6"/>
  <c r="AY45" i="6"/>
  <c r="CG46" i="6"/>
  <c r="BA45" i="6"/>
  <c r="BS46" i="6"/>
  <c r="CM46" i="6"/>
  <c r="CH46" i="6"/>
  <c r="AX46" i="6"/>
  <c r="BT46" i="6"/>
  <c r="BM46" i="6"/>
  <c r="CI46" i="6"/>
  <c r="AY46" i="6"/>
  <c r="BR46" i="6"/>
  <c r="BN46" i="6"/>
  <c r="AZ46" i="6"/>
  <c r="AZ45" i="6"/>
  <c r="CJ46" i="6"/>
  <c r="BO46" i="6"/>
  <c r="N46" i="6"/>
  <c r="CD45" i="6"/>
  <c r="CC45" i="6"/>
  <c r="BL45" i="6"/>
  <c r="BY45" i="6"/>
  <c r="BX45" i="6"/>
  <c r="BE45" i="6"/>
  <c r="BF45" i="6"/>
  <c r="BK45" i="6"/>
  <c r="BI45" i="6"/>
  <c r="BJ45" i="6"/>
  <c r="CE45" i="6"/>
  <c r="BG45" i="6"/>
  <c r="BH45" i="6"/>
  <c r="BD45" i="6"/>
  <c r="BC45" i="6"/>
  <c r="BZ45" i="6"/>
  <c r="BW45" i="6"/>
  <c r="BV45" i="6"/>
  <c r="CB45" i="6"/>
  <c r="CA45" i="6"/>
  <c r="BH46" i="6"/>
  <c r="CA46" i="6"/>
  <c r="K47" i="12"/>
  <c r="BF46" i="6"/>
  <c r="BV46" i="6"/>
  <c r="D48" i="6"/>
  <c r="BL46" i="6"/>
  <c r="BG46" i="6"/>
  <c r="BJ46" i="6"/>
  <c r="BW46" i="6"/>
  <c r="H47" i="6"/>
  <c r="T47" i="5" s="1"/>
  <c r="BK46" i="6"/>
  <c r="BX46" i="6"/>
  <c r="BY46" i="6"/>
  <c r="BZ46" i="6"/>
  <c r="BI46" i="6"/>
  <c r="BE46" i="6"/>
  <c r="J48" i="12"/>
  <c r="L48" i="12"/>
  <c r="CB46" i="6"/>
  <c r="A47" i="6"/>
  <c r="M47" i="6" s="1"/>
  <c r="BP47" i="6" s="1"/>
  <c r="CD46" i="6"/>
  <c r="CE46" i="6"/>
  <c r="BC46" i="6"/>
  <c r="BD46" i="6"/>
  <c r="G46" i="12"/>
  <c r="N50" i="5" l="1"/>
  <c r="D50" i="6" s="1"/>
  <c r="E50" i="5"/>
  <c r="G50" i="5"/>
  <c r="C51" i="5"/>
  <c r="AD50" i="5"/>
  <c r="F50" i="5"/>
  <c r="K50" i="5"/>
  <c r="AE50" i="5"/>
  <c r="B50" i="6"/>
  <c r="J50" i="5"/>
  <c r="B50" i="5"/>
  <c r="D50" i="5"/>
  <c r="B50" i="12" s="1"/>
  <c r="H50" i="5"/>
  <c r="F49" i="6"/>
  <c r="L50" i="12"/>
  <c r="J50" i="12"/>
  <c r="H49" i="6"/>
  <c r="T49" i="5" s="1"/>
  <c r="G49" i="6"/>
  <c r="CL47" i="6"/>
  <c r="BQ47" i="6"/>
  <c r="CF47" i="6"/>
  <c r="CM47" i="6"/>
  <c r="BR47" i="6"/>
  <c r="AX47" i="6"/>
  <c r="CG47" i="6"/>
  <c r="BM47" i="6"/>
  <c r="BS47" i="6"/>
  <c r="AY47" i="6"/>
  <c r="CH47" i="6"/>
  <c r="BN47" i="6"/>
  <c r="BT47" i="6"/>
  <c r="AZ47" i="6"/>
  <c r="CI47" i="6"/>
  <c r="BO47" i="6"/>
  <c r="CJ47" i="6"/>
  <c r="BA47" i="6"/>
  <c r="CK47" i="6"/>
  <c r="BJ47" i="6"/>
  <c r="A48" i="6"/>
  <c r="A49" i="6" s="1"/>
  <c r="N49" i="6" s="1"/>
  <c r="N47" i="6"/>
  <c r="BL47" i="6"/>
  <c r="BK47" i="6"/>
  <c r="BI47" i="6"/>
  <c r="BZ47" i="6"/>
  <c r="BW47" i="6"/>
  <c r="CC47" i="6"/>
  <c r="CE47" i="6"/>
  <c r="BV47" i="6"/>
  <c r="BD47" i="6"/>
  <c r="BH47" i="6"/>
  <c r="H48" i="6"/>
  <c r="T48" i="5" s="1"/>
  <c r="BC47" i="6"/>
  <c r="CD47" i="6"/>
  <c r="BE47" i="6"/>
  <c r="BF47" i="6"/>
  <c r="CA47" i="6"/>
  <c r="BY47" i="6"/>
  <c r="G47" i="12"/>
  <c r="BG47" i="6"/>
  <c r="BX47" i="6"/>
  <c r="K48" i="12"/>
  <c r="CB47" i="6"/>
  <c r="AF50" i="5"/>
  <c r="A51" i="12" l="1"/>
  <c r="L51" i="12" s="1"/>
  <c r="C52" i="5"/>
  <c r="A52" i="12" s="1"/>
  <c r="G51" i="5"/>
  <c r="AD51" i="5"/>
  <c r="E51" i="5"/>
  <c r="J51" i="5"/>
  <c r="B51" i="5"/>
  <c r="B51" i="6"/>
  <c r="F51" i="5"/>
  <c r="D51" i="5"/>
  <c r="B51" i="12" s="1"/>
  <c r="K51" i="5"/>
  <c r="AE51" i="5"/>
  <c r="H51" i="5"/>
  <c r="N51" i="5"/>
  <c r="D51" i="6" s="1"/>
  <c r="A50" i="6"/>
  <c r="M49" i="6"/>
  <c r="AV49" i="6" s="1"/>
  <c r="K50" i="12"/>
  <c r="G49" i="12"/>
  <c r="H50" i="6"/>
  <c r="T50" i="5" s="1"/>
  <c r="N48" i="6"/>
  <c r="M48" i="6"/>
  <c r="G48" i="12"/>
  <c r="AG50" i="5"/>
  <c r="S50" i="5"/>
  <c r="R50" i="5"/>
  <c r="AF51" i="5"/>
  <c r="U50" i="5" l="1"/>
  <c r="B52" i="6"/>
  <c r="H52" i="5"/>
  <c r="J52" i="5"/>
  <c r="G52" i="5"/>
  <c r="AD52" i="5"/>
  <c r="F52" i="5"/>
  <c r="C53" i="5"/>
  <c r="A53" i="12" s="1"/>
  <c r="N52" i="5"/>
  <c r="D52" i="6" s="1"/>
  <c r="AE52" i="5"/>
  <c r="K52" i="5"/>
  <c r="B52" i="5"/>
  <c r="J51" i="12"/>
  <c r="K51" i="12" s="1"/>
  <c r="D52" i="5"/>
  <c r="B52" i="12" s="1"/>
  <c r="E52" i="5"/>
  <c r="E50" i="12"/>
  <c r="F50" i="6"/>
  <c r="F50" i="12"/>
  <c r="G50" i="6"/>
  <c r="A51" i="6"/>
  <c r="M50" i="6"/>
  <c r="CD50" i="6" s="1"/>
  <c r="N50" i="6"/>
  <c r="CA49" i="6"/>
  <c r="BH49" i="6"/>
  <c r="AQ49" i="6"/>
  <c r="BN49" i="6"/>
  <c r="AK49" i="6"/>
  <c r="BV49" i="6"/>
  <c r="CD49" i="6"/>
  <c r="CJ49" i="6"/>
  <c r="BS49" i="6"/>
  <c r="BQ49" i="6"/>
  <c r="BX49" i="6"/>
  <c r="BG49" i="6"/>
  <c r="AL49" i="6"/>
  <c r="BI49" i="6"/>
  <c r="BE49" i="6"/>
  <c r="CL49" i="6"/>
  <c r="BK49" i="6"/>
  <c r="BD49" i="6"/>
  <c r="BP49" i="6"/>
  <c r="BZ49" i="6"/>
  <c r="BM49" i="6"/>
  <c r="CB49" i="6"/>
  <c r="CI49" i="6"/>
  <c r="CG49" i="6"/>
  <c r="CH49" i="6"/>
  <c r="BO49" i="6"/>
  <c r="BW49" i="6"/>
  <c r="CM49" i="6"/>
  <c r="CC49" i="6"/>
  <c r="CF49" i="6"/>
  <c r="CE49" i="6"/>
  <c r="BC49" i="6"/>
  <c r="CK49" i="6"/>
  <c r="BJ49" i="6"/>
  <c r="BF49" i="6"/>
  <c r="BR49" i="6"/>
  <c r="BY49" i="6"/>
  <c r="BT49" i="6"/>
  <c r="BL49" i="6"/>
  <c r="J52" i="12"/>
  <c r="L52" i="12"/>
  <c r="G50" i="12"/>
  <c r="H51" i="6"/>
  <c r="T51" i="5" s="1"/>
  <c r="AZ49" i="6"/>
  <c r="BA49" i="6"/>
  <c r="AN49" i="6"/>
  <c r="AO49" i="6"/>
  <c r="AU49" i="6"/>
  <c r="AS49" i="6"/>
  <c r="AT49" i="6"/>
  <c r="AY49" i="6"/>
  <c r="AP49" i="6"/>
  <c r="AJ49" i="6"/>
  <c r="AW49" i="6"/>
  <c r="AR49" i="6"/>
  <c r="AX49" i="6"/>
  <c r="AZ48" i="6"/>
  <c r="AX48" i="6"/>
  <c r="AY48" i="6"/>
  <c r="CI48" i="6"/>
  <c r="BT48" i="6"/>
  <c r="BN48" i="6"/>
  <c r="CH48" i="6"/>
  <c r="BS48" i="6"/>
  <c r="BM48" i="6"/>
  <c r="CM48" i="6"/>
  <c r="CG48" i="6"/>
  <c r="CL48" i="6"/>
  <c r="BR48" i="6"/>
  <c r="CF48" i="6"/>
  <c r="CK48" i="6"/>
  <c r="BQ48" i="6"/>
  <c r="BP48" i="6"/>
  <c r="CJ48" i="6"/>
  <c r="BO48" i="6"/>
  <c r="BA48" i="6"/>
  <c r="BH48" i="6"/>
  <c r="BV48" i="6"/>
  <c r="CC48" i="6"/>
  <c r="CB48" i="6"/>
  <c r="BZ48" i="6"/>
  <c r="BK48" i="6"/>
  <c r="BY48" i="6"/>
  <c r="BC48" i="6"/>
  <c r="BD48" i="6"/>
  <c r="BX48" i="6"/>
  <c r="BI48" i="6"/>
  <c r="BL48" i="6"/>
  <c r="BJ48" i="6"/>
  <c r="CD48" i="6"/>
  <c r="BW48" i="6"/>
  <c r="BF48" i="6"/>
  <c r="CE48" i="6"/>
  <c r="BE48" i="6"/>
  <c r="CA48" i="6"/>
  <c r="BG48" i="6"/>
  <c r="S51" i="5"/>
  <c r="AG51" i="5"/>
  <c r="R51" i="5"/>
  <c r="AF52" i="5"/>
  <c r="D53" i="5" l="1"/>
  <c r="B53" i="12" s="1"/>
  <c r="C54" i="5"/>
  <c r="K54" i="5" s="1"/>
  <c r="H53" i="5"/>
  <c r="K53" i="5"/>
  <c r="B53" i="6"/>
  <c r="U51" i="5"/>
  <c r="AN50" i="5"/>
  <c r="W50" i="5"/>
  <c r="B53" i="5"/>
  <c r="F53" i="5"/>
  <c r="G53" i="5"/>
  <c r="E53" i="5"/>
  <c r="N53" i="5"/>
  <c r="D53" i="6" s="1"/>
  <c r="J53" i="5"/>
  <c r="AE53" i="5"/>
  <c r="AD53" i="5"/>
  <c r="E51" i="12"/>
  <c r="F51" i="6"/>
  <c r="F51" i="12"/>
  <c r="G51" i="6"/>
  <c r="K52" i="12"/>
  <c r="M51" i="6"/>
  <c r="BJ51" i="6" s="1"/>
  <c r="BC50" i="6"/>
  <c r="A52" i="6"/>
  <c r="N52" i="6" s="1"/>
  <c r="N51" i="6"/>
  <c r="BX50" i="6"/>
  <c r="CB50" i="6"/>
  <c r="BI50" i="6"/>
  <c r="BK50" i="6"/>
  <c r="CL50" i="6"/>
  <c r="BJ50" i="6"/>
  <c r="AY50" i="6"/>
  <c r="CJ50" i="6"/>
  <c r="CM50" i="6"/>
  <c r="BY50" i="6"/>
  <c r="BR50" i="6"/>
  <c r="BW50" i="6"/>
  <c r="BV50" i="6"/>
  <c r="AV50" i="6"/>
  <c r="CH50" i="6"/>
  <c r="CA50" i="6"/>
  <c r="BL50" i="6"/>
  <c r="CF50" i="6"/>
  <c r="BZ50" i="6"/>
  <c r="BQ50" i="6"/>
  <c r="CG50" i="6"/>
  <c r="BM50" i="6"/>
  <c r="BE50" i="6"/>
  <c r="CC50" i="6"/>
  <c r="BD50" i="6"/>
  <c r="BS50" i="6"/>
  <c r="BF50" i="6"/>
  <c r="CE50" i="6"/>
  <c r="BP50" i="6"/>
  <c r="AX50" i="6"/>
  <c r="AZ50" i="6"/>
  <c r="CK50" i="6"/>
  <c r="BO50" i="6"/>
  <c r="BN50" i="6"/>
  <c r="BA50" i="6"/>
  <c r="BG50" i="6"/>
  <c r="CI50" i="6"/>
  <c r="AW50" i="6"/>
  <c r="BT50" i="6"/>
  <c r="BH50" i="6"/>
  <c r="H52" i="6"/>
  <c r="T52" i="5" s="1"/>
  <c r="G51" i="12"/>
  <c r="L53" i="12"/>
  <c r="J53" i="12"/>
  <c r="AM12" i="6"/>
  <c r="H14" i="6"/>
  <c r="K11" i="10"/>
  <c r="BF12" i="6"/>
  <c r="J11" i="9"/>
  <c r="BY12" i="6"/>
  <c r="S52" i="5"/>
  <c r="AG52" i="5"/>
  <c r="R52" i="5"/>
  <c r="AF53" i="5"/>
  <c r="G52" i="6" l="1"/>
  <c r="F52" i="12"/>
  <c r="F52" i="6"/>
  <c r="E52" i="12"/>
  <c r="U52" i="5"/>
  <c r="AN52" i="5" s="1"/>
  <c r="N54" i="5"/>
  <c r="D54" i="6" s="1"/>
  <c r="AE54" i="5"/>
  <c r="J54" i="5"/>
  <c r="D54" i="5"/>
  <c r="B54" i="12" s="1"/>
  <c r="A54" i="12"/>
  <c r="L54" i="12" s="1"/>
  <c r="C55" i="5"/>
  <c r="D55" i="5" s="1"/>
  <c r="B55" i="12" s="1"/>
  <c r="B54" i="5"/>
  <c r="AD54" i="5"/>
  <c r="F54" i="5"/>
  <c r="G54" i="5"/>
  <c r="B54" i="6"/>
  <c r="H54" i="5"/>
  <c r="E54" i="5"/>
  <c r="H50" i="12"/>
  <c r="X50" i="5"/>
  <c r="AM50" i="6" s="1"/>
  <c r="AN51" i="5"/>
  <c r="W51" i="5"/>
  <c r="M52" i="6"/>
  <c r="BC52" i="6" s="1"/>
  <c r="BA51" i="6"/>
  <c r="BE51" i="6"/>
  <c r="BY51" i="6"/>
  <c r="AZ51" i="6"/>
  <c r="BZ51" i="6"/>
  <c r="BH51" i="6"/>
  <c r="AX51" i="6"/>
  <c r="BK51" i="6"/>
  <c r="CI51" i="6"/>
  <c r="BP51" i="6"/>
  <c r="BG51" i="6"/>
  <c r="BC51" i="6"/>
  <c r="AW51" i="6"/>
  <c r="CF51" i="6"/>
  <c r="CL51" i="6"/>
  <c r="CG51" i="6"/>
  <c r="BN51" i="6"/>
  <c r="CA51" i="6"/>
  <c r="CH51" i="6"/>
  <c r="CC51" i="6"/>
  <c r="BD51" i="6"/>
  <c r="BI51" i="6"/>
  <c r="CJ51" i="6"/>
  <c r="CE51" i="6"/>
  <c r="BL51" i="6"/>
  <c r="BO51" i="6"/>
  <c r="BX51" i="6"/>
  <c r="BF51" i="6"/>
  <c r="BV51" i="6"/>
  <c r="BQ51" i="6"/>
  <c r="BR51" i="6"/>
  <c r="CM51" i="6"/>
  <c r="AY51" i="6"/>
  <c r="BM51" i="6"/>
  <c r="AV51" i="6"/>
  <c r="CD51" i="6"/>
  <c r="BT51" i="6"/>
  <c r="CK51" i="6"/>
  <c r="CB51" i="6"/>
  <c r="BW51" i="6"/>
  <c r="BS51" i="6"/>
  <c r="K53" i="12"/>
  <c r="AM49" i="6"/>
  <c r="H53" i="6"/>
  <c r="T53" i="5" s="1"/>
  <c r="A53" i="6"/>
  <c r="N53" i="6" s="1"/>
  <c r="G52" i="12"/>
  <c r="AT14" i="6"/>
  <c r="AU14" i="6"/>
  <c r="AV14" i="6"/>
  <c r="AW14" i="6"/>
  <c r="AX14" i="6"/>
  <c r="AY14" i="6"/>
  <c r="AZ14" i="6"/>
  <c r="BA14" i="6"/>
  <c r="AR14" i="6"/>
  <c r="AM16" i="6"/>
  <c r="AM17" i="6"/>
  <c r="AM20" i="6"/>
  <c r="AM30" i="6"/>
  <c r="AM33" i="6"/>
  <c r="AM36" i="6"/>
  <c r="AM39" i="6"/>
  <c r="AM42" i="6"/>
  <c r="AS14" i="6"/>
  <c r="T14" i="5"/>
  <c r="AJ14" i="6"/>
  <c r="AM14" i="6"/>
  <c r="AL14" i="6"/>
  <c r="AP14" i="6"/>
  <c r="AK14" i="6"/>
  <c r="AO14" i="6"/>
  <c r="AQ14" i="6"/>
  <c r="AN14" i="6"/>
  <c r="AG53" i="5"/>
  <c r="R53" i="5"/>
  <c r="S53" i="5"/>
  <c r="AF54" i="5"/>
  <c r="J55" i="5" l="1"/>
  <c r="W52" i="5"/>
  <c r="H52" i="12" s="1"/>
  <c r="B55" i="5"/>
  <c r="B55" i="6"/>
  <c r="C56" i="5"/>
  <c r="K56" i="5" s="1"/>
  <c r="E55" i="5"/>
  <c r="E53" i="12"/>
  <c r="F53" i="6"/>
  <c r="U53" i="5"/>
  <c r="AN53" i="5" s="1"/>
  <c r="G53" i="6"/>
  <c r="F53" i="12"/>
  <c r="J54" i="12"/>
  <c r="K54" i="12" s="1"/>
  <c r="AD55" i="5"/>
  <c r="A55" i="12"/>
  <c r="L55" i="12" s="1"/>
  <c r="N55" i="5"/>
  <c r="D55" i="6" s="1"/>
  <c r="F55" i="5"/>
  <c r="H55" i="5"/>
  <c r="K55" i="5"/>
  <c r="AE55" i="5"/>
  <c r="G55" i="5"/>
  <c r="BT52" i="6"/>
  <c r="BJ52" i="6"/>
  <c r="AS50" i="6"/>
  <c r="AK50" i="6"/>
  <c r="AT50" i="6"/>
  <c r="AU50" i="6"/>
  <c r="AR50" i="6"/>
  <c r="AL50" i="6"/>
  <c r="AJ50" i="6"/>
  <c r="AP50" i="6"/>
  <c r="AO50" i="6"/>
  <c r="AN50" i="6"/>
  <c r="AQ50" i="6"/>
  <c r="H51" i="12"/>
  <c r="X51" i="5"/>
  <c r="AC50" i="5"/>
  <c r="I50" i="12"/>
  <c r="Z50" i="5"/>
  <c r="AM50" i="5"/>
  <c r="L50" i="5"/>
  <c r="AV52" i="6"/>
  <c r="BY52" i="6"/>
  <c r="AW52" i="6"/>
  <c r="CJ52" i="6"/>
  <c r="CF52" i="6"/>
  <c r="CD52" i="6"/>
  <c r="BV52" i="6"/>
  <c r="CM52" i="6"/>
  <c r="BN52" i="6"/>
  <c r="BO52" i="6"/>
  <c r="BE52" i="6"/>
  <c r="BI52" i="6"/>
  <c r="AY52" i="6"/>
  <c r="BK52" i="6"/>
  <c r="CG52" i="6"/>
  <c r="CA52" i="6"/>
  <c r="BG52" i="6"/>
  <c r="CI52" i="6"/>
  <c r="AX52" i="6"/>
  <c r="BR52" i="6"/>
  <c r="CH52" i="6"/>
  <c r="BA52" i="6"/>
  <c r="BW52" i="6"/>
  <c r="BL52" i="6"/>
  <c r="BH52" i="6"/>
  <c r="BZ52" i="6"/>
  <c r="BX52" i="6"/>
  <c r="CK52" i="6"/>
  <c r="BQ52" i="6"/>
  <c r="CL52" i="6"/>
  <c r="CC52" i="6"/>
  <c r="CE52" i="6"/>
  <c r="BS52" i="6"/>
  <c r="BD52" i="6"/>
  <c r="BF52" i="6"/>
  <c r="BP52" i="6"/>
  <c r="BM52" i="6"/>
  <c r="CB52" i="6"/>
  <c r="AZ52" i="6"/>
  <c r="M53" i="6"/>
  <c r="BZ53" i="6" s="1"/>
  <c r="A54" i="6"/>
  <c r="H54" i="6"/>
  <c r="T54" i="5" s="1"/>
  <c r="G53" i="12"/>
  <c r="B56" i="6"/>
  <c r="A56" i="12"/>
  <c r="H56" i="5"/>
  <c r="F56" i="5"/>
  <c r="E56" i="5"/>
  <c r="D56" i="5"/>
  <c r="B56" i="12" s="1"/>
  <c r="AE56" i="5"/>
  <c r="N56" i="5"/>
  <c r="J56" i="5"/>
  <c r="G14" i="12"/>
  <c r="X14" i="5"/>
  <c r="R54" i="5"/>
  <c r="S54" i="5"/>
  <c r="AG54" i="5"/>
  <c r="AF56" i="5"/>
  <c r="AF55" i="5"/>
  <c r="X52" i="5" l="1"/>
  <c r="AT52" i="6" s="1"/>
  <c r="AD56" i="5"/>
  <c r="B56" i="5"/>
  <c r="G56" i="5"/>
  <c r="W53" i="5"/>
  <c r="H53" i="12" s="1"/>
  <c r="AM52" i="6"/>
  <c r="F54" i="12"/>
  <c r="G54" i="6"/>
  <c r="U54" i="5"/>
  <c r="W54" i="5" s="1"/>
  <c r="H54" i="12" s="1"/>
  <c r="F54" i="6"/>
  <c r="E54" i="12"/>
  <c r="J55" i="12"/>
  <c r="K55" i="12" s="1"/>
  <c r="AK52" i="6"/>
  <c r="AJ52" i="6"/>
  <c r="AQ52" i="6"/>
  <c r="AR52" i="6"/>
  <c r="X53" i="5"/>
  <c r="AQ53" i="6" s="1"/>
  <c r="AS51" i="6"/>
  <c r="AN51" i="6"/>
  <c r="AP51" i="6"/>
  <c r="AT51" i="6"/>
  <c r="AK51" i="6"/>
  <c r="AM51" i="6"/>
  <c r="AQ51" i="6"/>
  <c r="AU51" i="6"/>
  <c r="AO51" i="6"/>
  <c r="AR51" i="6"/>
  <c r="AL51" i="6"/>
  <c r="AJ51" i="6"/>
  <c r="C50" i="6"/>
  <c r="AB50" i="5"/>
  <c r="C50" i="12"/>
  <c r="O50" i="12"/>
  <c r="M50" i="12"/>
  <c r="AO50" i="12"/>
  <c r="AM51" i="5"/>
  <c r="Z51" i="5"/>
  <c r="AC51" i="5"/>
  <c r="I51" i="12"/>
  <c r="L51" i="5"/>
  <c r="AN54" i="5"/>
  <c r="BL53" i="6"/>
  <c r="AX53" i="6"/>
  <c r="CB53" i="6"/>
  <c r="BO53" i="6"/>
  <c r="A55" i="6"/>
  <c r="N55" i="6" s="1"/>
  <c r="BF53" i="6"/>
  <c r="AW53" i="6"/>
  <c r="BK53" i="6"/>
  <c r="AV53" i="6"/>
  <c r="BE53" i="6"/>
  <c r="BS53" i="6"/>
  <c r="BW53" i="6"/>
  <c r="BY53" i="6"/>
  <c r="CE53" i="6"/>
  <c r="CF53" i="6"/>
  <c r="BD53" i="6"/>
  <c r="BR53" i="6"/>
  <c r="AZ53" i="6"/>
  <c r="CD53" i="6"/>
  <c r="BN53" i="6"/>
  <c r="CI53" i="6"/>
  <c r="BC53" i="6"/>
  <c r="CC53" i="6"/>
  <c r="CG53" i="6"/>
  <c r="BM53" i="6"/>
  <c r="BH53" i="6"/>
  <c r="BT53" i="6"/>
  <c r="BJ53" i="6"/>
  <c r="CM53" i="6"/>
  <c r="M54" i="6"/>
  <c r="CG54" i="6" s="1"/>
  <c r="BV53" i="6"/>
  <c r="N54" i="6"/>
  <c r="CA53" i="6"/>
  <c r="BA53" i="6"/>
  <c r="AY53" i="6"/>
  <c r="CJ53" i="6"/>
  <c r="CK53" i="6"/>
  <c r="CH53" i="6"/>
  <c r="BP53" i="6"/>
  <c r="BG53" i="6"/>
  <c r="BX53" i="6"/>
  <c r="BQ53" i="6"/>
  <c r="CL53" i="6"/>
  <c r="BI53" i="6"/>
  <c r="H55" i="6"/>
  <c r="T55" i="5" s="1"/>
  <c r="C57" i="5"/>
  <c r="G54" i="12"/>
  <c r="D56" i="6"/>
  <c r="L56" i="12"/>
  <c r="J56" i="12"/>
  <c r="I14" i="12"/>
  <c r="L14" i="5"/>
  <c r="I14" i="5"/>
  <c r="Z14" i="5"/>
  <c r="AM14" i="5"/>
  <c r="S56" i="5"/>
  <c r="AG56" i="5"/>
  <c r="AG55" i="5"/>
  <c r="S55" i="5"/>
  <c r="R55" i="5"/>
  <c r="R56" i="5"/>
  <c r="AU52" i="6" l="1"/>
  <c r="AP52" i="6"/>
  <c r="Z52" i="5"/>
  <c r="AB52" i="5" s="1"/>
  <c r="AC52" i="5"/>
  <c r="AN52" i="6"/>
  <c r="AL52" i="6"/>
  <c r="L52" i="5"/>
  <c r="C52" i="6" s="1"/>
  <c r="AS52" i="6"/>
  <c r="I52" i="12"/>
  <c r="AM52" i="5"/>
  <c r="AO52" i="6"/>
  <c r="AK53" i="6"/>
  <c r="U55" i="5"/>
  <c r="AN55" i="5" s="1"/>
  <c r="E55" i="12"/>
  <c r="F55" i="6"/>
  <c r="G55" i="6"/>
  <c r="F55" i="12"/>
  <c r="AL53" i="6"/>
  <c r="AS53" i="6"/>
  <c r="AJ53" i="6"/>
  <c r="AT53" i="6"/>
  <c r="AC53" i="5"/>
  <c r="Z53" i="5"/>
  <c r="AB53" i="5" s="1"/>
  <c r="L53" i="5"/>
  <c r="C53" i="6" s="1"/>
  <c r="I53" i="12"/>
  <c r="AU53" i="6"/>
  <c r="AP53" i="6"/>
  <c r="AM53" i="5"/>
  <c r="AM53" i="6"/>
  <c r="AN53" i="6"/>
  <c r="AO53" i="6"/>
  <c r="AR53" i="6"/>
  <c r="N50" i="12"/>
  <c r="X54" i="5"/>
  <c r="AT54" i="6" s="1"/>
  <c r="U56" i="5"/>
  <c r="AB51" i="5"/>
  <c r="Y50" i="12"/>
  <c r="C51" i="6"/>
  <c r="M51" i="12"/>
  <c r="O51" i="12"/>
  <c r="C51" i="12"/>
  <c r="AO51" i="12"/>
  <c r="W55" i="5"/>
  <c r="H55" i="12" s="1"/>
  <c r="E56" i="12"/>
  <c r="F56" i="6"/>
  <c r="F56" i="12"/>
  <c r="CK54" i="6"/>
  <c r="M55" i="6"/>
  <c r="BR55" i="6" s="1"/>
  <c r="BC54" i="6"/>
  <c r="BF54" i="6"/>
  <c r="BX54" i="6"/>
  <c r="CJ54" i="6"/>
  <c r="CI54" i="6"/>
  <c r="BT54" i="6"/>
  <c r="BY54" i="6"/>
  <c r="CB54" i="6"/>
  <c r="BJ54" i="6"/>
  <c r="BH54" i="6"/>
  <c r="AZ54" i="6"/>
  <c r="BO54" i="6"/>
  <c r="BM54" i="6"/>
  <c r="BQ54" i="6"/>
  <c r="CF54" i="6"/>
  <c r="CA54" i="6"/>
  <c r="BS54" i="6"/>
  <c r="BD54" i="6"/>
  <c r="CE54" i="6"/>
  <c r="AV54" i="6"/>
  <c r="CH54" i="6"/>
  <c r="BZ54" i="6"/>
  <c r="BW54" i="6"/>
  <c r="CD54" i="6"/>
  <c r="BA54" i="6"/>
  <c r="CM54" i="6"/>
  <c r="BV54" i="6"/>
  <c r="BL54" i="6"/>
  <c r="BP54" i="6"/>
  <c r="AY54" i="6"/>
  <c r="BR54" i="6"/>
  <c r="CL54" i="6"/>
  <c r="BN54" i="6"/>
  <c r="CC54" i="6"/>
  <c r="BI54" i="6"/>
  <c r="BK54" i="6"/>
  <c r="AW54" i="6"/>
  <c r="BE54" i="6"/>
  <c r="BG54" i="6"/>
  <c r="AX54" i="6"/>
  <c r="H56" i="6"/>
  <c r="T56" i="5" s="1"/>
  <c r="G56" i="6"/>
  <c r="A56" i="6"/>
  <c r="N56" i="6" s="1"/>
  <c r="B57" i="5"/>
  <c r="AE57" i="5"/>
  <c r="N57" i="5"/>
  <c r="B57" i="6"/>
  <c r="H57" i="5"/>
  <c r="G57" i="5"/>
  <c r="A57" i="12"/>
  <c r="J57" i="5"/>
  <c r="E57" i="5"/>
  <c r="F57" i="5"/>
  <c r="D57" i="5"/>
  <c r="B57" i="12" s="1"/>
  <c r="AD57" i="5"/>
  <c r="E38" i="8" s="1"/>
  <c r="E39" i="8" s="1"/>
  <c r="K57" i="5"/>
  <c r="C53" i="12"/>
  <c r="AO53" i="12"/>
  <c r="O53" i="12"/>
  <c r="M53" i="12"/>
  <c r="G55" i="12"/>
  <c r="K56" i="12"/>
  <c r="AA14" i="5"/>
  <c r="AB14" i="5"/>
  <c r="O14" i="5"/>
  <c r="C14" i="6"/>
  <c r="O14" i="12"/>
  <c r="M14" i="12"/>
  <c r="C14" i="12"/>
  <c r="AO14" i="12"/>
  <c r="AF57" i="5"/>
  <c r="O52" i="12" l="1"/>
  <c r="AO52" i="12"/>
  <c r="Y52" i="12" s="1"/>
  <c r="W52" i="12" s="1"/>
  <c r="C52" i="12"/>
  <c r="M52" i="12"/>
  <c r="AL54" i="6"/>
  <c r="I54" i="12"/>
  <c r="AJ54" i="6"/>
  <c r="AQ54" i="6"/>
  <c r="Z54" i="5"/>
  <c r="AB54" i="5" s="1"/>
  <c r="AO54" i="6"/>
  <c r="AM54" i="6"/>
  <c r="AR54" i="6"/>
  <c r="AC54" i="5"/>
  <c r="L54" i="5"/>
  <c r="C54" i="6" s="1"/>
  <c r="I38" i="8"/>
  <c r="L38" i="8"/>
  <c r="N38" i="8" s="1"/>
  <c r="AN54" i="6"/>
  <c r="AP54" i="6"/>
  <c r="AM54" i="5"/>
  <c r="AK54" i="6"/>
  <c r="AU54" i="6"/>
  <c r="AS54" i="6"/>
  <c r="X55" i="5"/>
  <c r="AQ55" i="6" s="1"/>
  <c r="Y51" i="12"/>
  <c r="X51" i="12" s="1"/>
  <c r="N51" i="12"/>
  <c r="X50" i="12"/>
  <c r="W50" i="12"/>
  <c r="AN56" i="5"/>
  <c r="W56" i="5"/>
  <c r="H56" i="12" s="1"/>
  <c r="BJ55" i="6"/>
  <c r="BF55" i="6"/>
  <c r="CH55" i="6"/>
  <c r="BG55" i="6"/>
  <c r="BH55" i="6"/>
  <c r="AZ55" i="6"/>
  <c r="CI55" i="6"/>
  <c r="BW55" i="6"/>
  <c r="CJ55" i="6"/>
  <c r="BK55" i="6"/>
  <c r="CF55" i="6"/>
  <c r="BM55" i="6"/>
  <c r="CK55" i="6"/>
  <c r="BV55" i="6"/>
  <c r="CC55" i="6"/>
  <c r="BY55" i="6"/>
  <c r="BX55" i="6"/>
  <c r="AW55" i="6"/>
  <c r="AV55" i="6"/>
  <c r="BT55" i="6"/>
  <c r="BE55" i="6"/>
  <c r="CA55" i="6"/>
  <c r="BA55" i="6"/>
  <c r="BI55" i="6"/>
  <c r="BL55" i="6"/>
  <c r="CB55" i="6"/>
  <c r="BC55" i="6"/>
  <c r="AY55" i="6"/>
  <c r="CL55" i="6"/>
  <c r="AX55" i="6"/>
  <c r="CM55" i="6"/>
  <c r="CG55" i="6"/>
  <c r="BS55" i="6"/>
  <c r="BO55" i="6"/>
  <c r="CD55" i="6"/>
  <c r="BN55" i="6"/>
  <c r="CE55" i="6"/>
  <c r="BD55" i="6"/>
  <c r="BZ55" i="6"/>
  <c r="BP55" i="6"/>
  <c r="BQ55" i="6"/>
  <c r="N53" i="12"/>
  <c r="K49" i="5"/>
  <c r="J49" i="5"/>
  <c r="G56" i="12"/>
  <c r="C54" i="12"/>
  <c r="O54" i="12"/>
  <c r="M54" i="12"/>
  <c r="AO54" i="12"/>
  <c r="M56" i="6"/>
  <c r="BA56" i="6" s="1"/>
  <c r="Y53" i="12"/>
  <c r="D57" i="6"/>
  <c r="X52" i="12"/>
  <c r="J57" i="12"/>
  <c r="L57" i="12"/>
  <c r="N14" i="12"/>
  <c r="Y14" i="12"/>
  <c r="D14" i="12"/>
  <c r="E14" i="6"/>
  <c r="AG57" i="5"/>
  <c r="R57" i="5"/>
  <c r="S57" i="5"/>
  <c r="N52" i="12" l="1"/>
  <c r="AC55" i="5"/>
  <c r="AN55" i="6"/>
  <c r="AS55" i="6"/>
  <c r="AL55" i="6"/>
  <c r="AU55" i="6"/>
  <c r="AM55" i="5"/>
  <c r="AK55" i="6"/>
  <c r="L55" i="5"/>
  <c r="C55" i="6" s="1"/>
  <c r="I55" i="12"/>
  <c r="M55" i="12" s="1"/>
  <c r="AT55" i="6"/>
  <c r="AO55" i="6"/>
  <c r="P38" i="8"/>
  <c r="O38" i="8"/>
  <c r="R40" i="8"/>
  <c r="M38" i="8"/>
  <c r="Q38" i="8" s="1"/>
  <c r="Z55" i="5"/>
  <c r="AB55" i="5" s="1"/>
  <c r="AM55" i="6"/>
  <c r="AR55" i="6"/>
  <c r="AP55" i="6"/>
  <c r="AJ55" i="6"/>
  <c r="W51" i="12"/>
  <c r="V51" i="12" s="1"/>
  <c r="X56" i="5"/>
  <c r="I56" i="12" s="1"/>
  <c r="U57" i="5"/>
  <c r="V50" i="12"/>
  <c r="U50" i="12"/>
  <c r="T50" i="12"/>
  <c r="E57" i="12"/>
  <c r="F57" i="6"/>
  <c r="F57" i="12"/>
  <c r="D49" i="5"/>
  <c r="B49" i="12" s="1"/>
  <c r="Y54" i="12"/>
  <c r="X54" i="12" s="1"/>
  <c r="AW56" i="6"/>
  <c r="AY56" i="6"/>
  <c r="AV56" i="6"/>
  <c r="K57" i="12"/>
  <c r="AX56" i="6"/>
  <c r="A57" i="6"/>
  <c r="M57" i="6" s="1"/>
  <c r="X53" i="12"/>
  <c r="W53" i="12"/>
  <c r="V52" i="12"/>
  <c r="U52" i="12"/>
  <c r="T52" i="12"/>
  <c r="N54" i="12"/>
  <c r="H57" i="6"/>
  <c r="T57" i="5" s="1"/>
  <c r="G57" i="6"/>
  <c r="CK56" i="6"/>
  <c r="BJ56" i="6"/>
  <c r="BQ56" i="6"/>
  <c r="BY56" i="6"/>
  <c r="CF56" i="6"/>
  <c r="BE56" i="6"/>
  <c r="CM56" i="6"/>
  <c r="BL56" i="6"/>
  <c r="BS56" i="6"/>
  <c r="CA56" i="6"/>
  <c r="CH56" i="6"/>
  <c r="BG56" i="6"/>
  <c r="BO56" i="6"/>
  <c r="BN56" i="6"/>
  <c r="BV56" i="6"/>
  <c r="CC56" i="6"/>
  <c r="CJ56" i="6"/>
  <c r="BI56" i="6"/>
  <c r="BP56" i="6"/>
  <c r="BX56" i="6"/>
  <c r="CE56" i="6"/>
  <c r="BD56" i="6"/>
  <c r="CD56" i="6"/>
  <c r="CL56" i="6"/>
  <c r="BK56" i="6"/>
  <c r="BR56" i="6"/>
  <c r="BZ56" i="6"/>
  <c r="CG56" i="6"/>
  <c r="BF56" i="6"/>
  <c r="BC56" i="6"/>
  <c r="BM56" i="6"/>
  <c r="BT56" i="6"/>
  <c r="CI56" i="6"/>
  <c r="BH56" i="6"/>
  <c r="CB56" i="6"/>
  <c r="BW56" i="6"/>
  <c r="AZ56" i="6"/>
  <c r="W14" i="12"/>
  <c r="X14" i="12"/>
  <c r="AO55" i="12" l="1"/>
  <c r="C55" i="12"/>
  <c r="O55" i="12"/>
  <c r="AP56" i="6"/>
  <c r="BQ57" i="6"/>
  <c r="C23" i="9"/>
  <c r="A23" i="9"/>
  <c r="C23" i="10"/>
  <c r="A23" i="10"/>
  <c r="AQ56" i="6"/>
  <c r="AC56" i="5"/>
  <c r="AR56" i="6"/>
  <c r="E40" i="8"/>
  <c r="AL56" i="6"/>
  <c r="AJ56" i="6"/>
  <c r="AU56" i="6"/>
  <c r="AO56" i="6"/>
  <c r="AN56" i="6"/>
  <c r="AT56" i="6"/>
  <c r="Z56" i="5"/>
  <c r="AB56" i="5" s="1"/>
  <c r="L56" i="5"/>
  <c r="C56" i="6" s="1"/>
  <c r="AK56" i="6"/>
  <c r="AM56" i="6"/>
  <c r="AS56" i="6"/>
  <c r="AM56" i="5"/>
  <c r="T51" i="12"/>
  <c r="U51" i="12"/>
  <c r="AN57" i="5"/>
  <c r="W57" i="5"/>
  <c r="H57" i="12" s="1"/>
  <c r="N57" i="6"/>
  <c r="W54" i="12"/>
  <c r="V54" i="12" s="1"/>
  <c r="BG57" i="6"/>
  <c r="CG57" i="6"/>
  <c r="BD57" i="6"/>
  <c r="CD57" i="6"/>
  <c r="BP57" i="6"/>
  <c r="BK57" i="6"/>
  <c r="CE57" i="6"/>
  <c r="BY57" i="6"/>
  <c r="BJ57" i="6"/>
  <c r="CK57" i="6"/>
  <c r="BZ57" i="6"/>
  <c r="CL57" i="6"/>
  <c r="BC57" i="6"/>
  <c r="BW57" i="6"/>
  <c r="BO57" i="6"/>
  <c r="AW57" i="6"/>
  <c r="BH57" i="6"/>
  <c r="CI57" i="6"/>
  <c r="AZ57" i="6"/>
  <c r="CB57" i="6"/>
  <c r="BF57" i="6"/>
  <c r="G57" i="12"/>
  <c r="BT57" i="6"/>
  <c r="BM57" i="6"/>
  <c r="BR57" i="6"/>
  <c r="AX57" i="6"/>
  <c r="AV57" i="6"/>
  <c r="BX57" i="6"/>
  <c r="CC57" i="6"/>
  <c r="BI57" i="6"/>
  <c r="CJ57" i="6"/>
  <c r="BA57" i="6"/>
  <c r="BA15" i="6" s="1"/>
  <c r="AH15" i="6" s="1"/>
  <c r="BV57" i="6"/>
  <c r="BN57" i="6"/>
  <c r="CF57" i="6"/>
  <c r="CH57" i="6"/>
  <c r="AY57" i="6"/>
  <c r="CA57" i="6"/>
  <c r="BE57" i="6"/>
  <c r="V53" i="12"/>
  <c r="U53" i="12"/>
  <c r="T53" i="12"/>
  <c r="C56" i="12"/>
  <c r="O56" i="12"/>
  <c r="M56" i="12"/>
  <c r="AO56" i="12"/>
  <c r="BS57" i="6"/>
  <c r="BL57" i="6"/>
  <c r="CM57" i="6"/>
  <c r="U14" i="12"/>
  <c r="V14" i="12"/>
  <c r="T14" i="12"/>
  <c r="Y55" i="12" l="1"/>
  <c r="W55" i="12" s="1"/>
  <c r="T55" i="12" s="1"/>
  <c r="N55" i="12"/>
  <c r="AE40" i="8"/>
  <c r="Z40" i="8"/>
  <c r="U40" i="8"/>
  <c r="AC40" i="8"/>
  <c r="AA40" i="8"/>
  <c r="T40" i="8"/>
  <c r="AD40" i="8"/>
  <c r="W40" i="8"/>
  <c r="X40" i="8"/>
  <c r="D40" i="8"/>
  <c r="Y40" i="8"/>
  <c r="AB40" i="8"/>
  <c r="X57" i="5"/>
  <c r="AZ15" i="6"/>
  <c r="AG15" i="6" s="1"/>
  <c r="AY15" i="6"/>
  <c r="AF15" i="6" s="1"/>
  <c r="AX15" i="6"/>
  <c r="AE15" i="6" s="1"/>
  <c r="T54" i="12"/>
  <c r="U54" i="12"/>
  <c r="Y56" i="12"/>
  <c r="X56" i="12" s="1"/>
  <c r="N56" i="12"/>
  <c r="V55" i="12"/>
  <c r="AM3" i="6"/>
  <c r="T6" i="6" s="1"/>
  <c r="U55" i="12" l="1"/>
  <c r="X55" i="12"/>
  <c r="X49" i="5"/>
  <c r="AO57" i="6"/>
  <c r="V40" i="8" s="1"/>
  <c r="AU57" i="6"/>
  <c r="AK57" i="6"/>
  <c r="AJ57" i="6"/>
  <c r="AM57" i="6"/>
  <c r="AN57" i="6"/>
  <c r="AL57" i="6"/>
  <c r="AS57" i="6"/>
  <c r="AQ57" i="6"/>
  <c r="AP57" i="6"/>
  <c r="AT57" i="6"/>
  <c r="AR57" i="6"/>
  <c r="AC57" i="5"/>
  <c r="Z57" i="5"/>
  <c r="L57" i="5"/>
  <c r="AM57" i="5"/>
  <c r="I57" i="12"/>
  <c r="AO57" i="12" s="1"/>
  <c r="W56" i="12"/>
  <c r="V56" i="12" s="1"/>
  <c r="A5" i="5"/>
  <c r="AC49" i="5" l="1"/>
  <c r="R38" i="8"/>
  <c r="L49" i="5"/>
  <c r="C49" i="6" s="1"/>
  <c r="I49" i="12"/>
  <c r="J49" i="12" s="1"/>
  <c r="AM49" i="5"/>
  <c r="Z49" i="5"/>
  <c r="M57" i="12"/>
  <c r="M49" i="12" s="1"/>
  <c r="O57" i="12"/>
  <c r="C57" i="6"/>
  <c r="C57" i="12"/>
  <c r="AB57" i="5"/>
  <c r="AB49" i="5" s="1"/>
  <c r="T56" i="12"/>
  <c r="U56" i="12"/>
  <c r="AO49" i="12"/>
  <c r="J42" i="5"/>
  <c r="K42" i="5"/>
  <c r="J39" i="5"/>
  <c r="K39" i="5"/>
  <c r="J36" i="5"/>
  <c r="K36" i="5"/>
  <c r="J33" i="5"/>
  <c r="K33" i="5"/>
  <c r="K30" i="5"/>
  <c r="J30" i="5"/>
  <c r="J20" i="5"/>
  <c r="K20" i="5"/>
  <c r="E14" i="8"/>
  <c r="E15" i="8" s="1"/>
  <c r="E23" i="8"/>
  <c r="E17" i="8"/>
  <c r="E18" i="8" s="1"/>
  <c r="E20" i="8"/>
  <c r="E29" i="8"/>
  <c r="E26" i="8"/>
  <c r="E35" i="8"/>
  <c r="E32" i="8"/>
  <c r="E1" i="8"/>
  <c r="E2" i="8" s="1"/>
  <c r="K16" i="5"/>
  <c r="J16" i="5"/>
  <c r="B12" i="11"/>
  <c r="A12" i="13"/>
  <c r="K17" i="5"/>
  <c r="J17" i="5"/>
  <c r="O49" i="5" l="1"/>
  <c r="D49" i="12" s="1"/>
  <c r="L49" i="12"/>
  <c r="K49" i="12" s="1"/>
  <c r="G39" i="8"/>
  <c r="G38" i="8"/>
  <c r="I39" i="8" s="1"/>
  <c r="F39" i="8"/>
  <c r="F38" i="8"/>
  <c r="C38" i="8"/>
  <c r="AE38" i="8"/>
  <c r="Y38" i="8"/>
  <c r="D38" i="8"/>
  <c r="X38" i="8"/>
  <c r="U38" i="8"/>
  <c r="W38" i="8"/>
  <c r="T38" i="8"/>
  <c r="AD38" i="8"/>
  <c r="AA38" i="8"/>
  <c r="AC38" i="8"/>
  <c r="V38" i="8"/>
  <c r="Z38" i="8"/>
  <c r="AB38" i="8"/>
  <c r="N57" i="12"/>
  <c r="C49" i="12"/>
  <c r="O49" i="12"/>
  <c r="N49" i="12" s="1"/>
  <c r="Y57" i="12"/>
  <c r="W57" i="12" s="1"/>
  <c r="V57" i="12" s="1"/>
  <c r="D42" i="5"/>
  <c r="B42" i="12" s="1"/>
  <c r="D39" i="5"/>
  <c r="B39" i="12" s="1"/>
  <c r="D33" i="5"/>
  <c r="B33" i="12" s="1"/>
  <c r="D36" i="5"/>
  <c r="D30" i="5"/>
  <c r="B30" i="12" s="1"/>
  <c r="D20" i="5"/>
  <c r="B20" i="12" s="1"/>
  <c r="D16" i="5"/>
  <c r="B14" i="13" s="1"/>
  <c r="I17" i="8"/>
  <c r="L17" i="8"/>
  <c r="L14" i="8"/>
  <c r="I14" i="8"/>
  <c r="N1" i="8"/>
  <c r="R1" i="8"/>
  <c r="F1" i="8" s="1"/>
  <c r="L1" i="8"/>
  <c r="P1" i="8"/>
  <c r="H1" i="8"/>
  <c r="M1" i="8"/>
  <c r="O1" i="8"/>
  <c r="I1" i="8"/>
  <c r="B12" i="13"/>
  <c r="AD12" i="13" s="1"/>
  <c r="AA12" i="11"/>
  <c r="C12" i="13"/>
  <c r="AB12" i="11"/>
  <c r="N12" i="11" s="1"/>
  <c r="G12" i="11"/>
  <c r="F12" i="13" s="1"/>
  <c r="K12" i="11"/>
  <c r="J12" i="13" s="1"/>
  <c r="O12" i="11"/>
  <c r="D17" i="5"/>
  <c r="H38" i="8" l="1"/>
  <c r="E49" i="6"/>
  <c r="Y49" i="12"/>
  <c r="X49" i="12" s="1"/>
  <c r="T57" i="12"/>
  <c r="U57" i="12"/>
  <c r="X57" i="12"/>
  <c r="B36" i="12"/>
  <c r="D15" i="5"/>
  <c r="B16" i="12"/>
  <c r="E21" i="8"/>
  <c r="R19" i="8"/>
  <c r="N14" i="8"/>
  <c r="P14" i="8"/>
  <c r="O14" i="8"/>
  <c r="O17" i="8"/>
  <c r="P17" i="8"/>
  <c r="R16" i="8"/>
  <c r="AC12" i="13"/>
  <c r="AH12" i="13"/>
  <c r="AG12" i="13"/>
  <c r="AE12" i="13"/>
  <c r="AF12" i="13"/>
  <c r="B17" i="12"/>
  <c r="R3" i="8"/>
  <c r="Q1" i="8"/>
  <c r="K12" i="13"/>
  <c r="O12" i="13"/>
  <c r="T12" i="13"/>
  <c r="M12" i="13"/>
  <c r="R12" i="13"/>
  <c r="S12" i="13"/>
  <c r="U12" i="13"/>
  <c r="F2" i="8"/>
  <c r="G1" i="8"/>
  <c r="I2" i="8" s="1"/>
  <c r="G2" i="8"/>
  <c r="C12" i="11"/>
  <c r="L12" i="13"/>
  <c r="Z12" i="11"/>
  <c r="W12" i="11"/>
  <c r="W49" i="12" l="1"/>
  <c r="T49" i="12" s="1"/>
  <c r="C22" i="9"/>
  <c r="C16" i="9"/>
  <c r="C20" i="10"/>
  <c r="A18" i="10"/>
  <c r="C1" i="9"/>
  <c r="A19" i="9"/>
  <c r="A1" i="10"/>
  <c r="A22" i="10"/>
  <c r="C19" i="10"/>
  <c r="C17" i="10"/>
  <c r="C18" i="9"/>
  <c r="C1" i="10"/>
  <c r="A1" i="9"/>
  <c r="C22" i="10"/>
  <c r="A17" i="10"/>
  <c r="A16" i="9"/>
  <c r="C18" i="10"/>
  <c r="C21" i="9"/>
  <c r="A20" i="10"/>
  <c r="A20" i="9"/>
  <c r="A22" i="9"/>
  <c r="M12" i="6"/>
  <c r="A21" i="9"/>
  <c r="C21" i="10"/>
  <c r="A21" i="10"/>
  <c r="C20" i="9"/>
  <c r="A19" i="10"/>
  <c r="A18" i="9"/>
  <c r="C16" i="10"/>
  <c r="C17" i="9"/>
  <c r="A17" i="9"/>
  <c r="C19" i="9"/>
  <c r="A16" i="10"/>
  <c r="I20" i="8"/>
  <c r="L20" i="8"/>
  <c r="V12" i="13"/>
  <c r="D12" i="13"/>
  <c r="AE3" i="8"/>
  <c r="U1" i="8"/>
  <c r="X3" i="8"/>
  <c r="D3" i="8"/>
  <c r="AE1" i="8"/>
  <c r="AB1" i="8"/>
  <c r="AC1" i="8"/>
  <c r="U3" i="8"/>
  <c r="AB3" i="8"/>
  <c r="AC3" i="8"/>
  <c r="T3" i="8"/>
  <c r="Z3" i="8"/>
  <c r="V1" i="8"/>
  <c r="W3" i="8"/>
  <c r="D1" i="8"/>
  <c r="AD3" i="8"/>
  <c r="AA1" i="8"/>
  <c r="B1" i="8"/>
  <c r="Y3" i="8"/>
  <c r="Z1" i="8"/>
  <c r="X1" i="8"/>
  <c r="T1" i="8"/>
  <c r="AA3" i="8"/>
  <c r="W1" i="8"/>
  <c r="C1" i="8"/>
  <c r="AD1" i="8"/>
  <c r="Y1" i="8"/>
  <c r="V3" i="8"/>
  <c r="E3" i="8"/>
  <c r="P12" i="13"/>
  <c r="N12" i="13"/>
  <c r="U49" i="12" l="1"/>
  <c r="V49" i="12"/>
  <c r="AH14" i="13"/>
  <c r="O14" i="13" s="1"/>
  <c r="O19" i="13" s="1"/>
  <c r="AE14" i="13"/>
  <c r="M14" i="13" s="1"/>
  <c r="M19" i="13" s="1"/>
  <c r="R22" i="8"/>
  <c r="E24" i="8"/>
  <c r="O20" i="8"/>
  <c r="P20" i="8"/>
  <c r="N14" i="13" l="1"/>
  <c r="I23" i="8"/>
  <c r="L23" i="8"/>
  <c r="F33" i="14"/>
  <c r="AD6" i="13"/>
  <c r="AE6" i="13" s="1"/>
  <c r="N19" i="13"/>
  <c r="P23" i="8" l="1"/>
  <c r="O23" i="8"/>
  <c r="R25" i="8"/>
  <c r="E27" i="8"/>
  <c r="E33" i="14"/>
  <c r="L26" i="8" l="1"/>
  <c r="I26" i="8"/>
  <c r="P26" i="8" l="1"/>
  <c r="R28" i="8"/>
  <c r="E30" i="8"/>
  <c r="O26" i="8"/>
  <c r="L29" i="8" l="1"/>
  <c r="I29" i="8"/>
  <c r="R31" i="8" l="1"/>
  <c r="E33" i="8"/>
  <c r="O29" i="8"/>
  <c r="P29" i="8"/>
  <c r="L32" i="8" l="1"/>
  <c r="P32" i="8" s="1"/>
  <c r="I32" i="8"/>
  <c r="O32" i="8" l="1"/>
  <c r="R34" i="8"/>
  <c r="E36" i="8"/>
  <c r="L35" i="8" l="1"/>
  <c r="I35" i="8"/>
  <c r="O35" i="8" l="1"/>
  <c r="P35" i="8"/>
  <c r="R37" i="8"/>
  <c r="M20" i="8" l="1"/>
  <c r="M17" i="8"/>
  <c r="M32" i="8"/>
  <c r="M29" i="8"/>
  <c r="M14" i="8"/>
  <c r="Q14" i="8" s="1"/>
  <c r="M23" i="8"/>
  <c r="M26" i="8"/>
  <c r="M35" i="8"/>
  <c r="B14" i="8" l="1"/>
  <c r="E16" i="8"/>
  <c r="C14" i="8"/>
  <c r="N32" i="8" l="1"/>
  <c r="Q32" i="8" s="1"/>
  <c r="N35" i="8"/>
  <c r="Q35" i="8" s="1"/>
  <c r="N26" i="8"/>
  <c r="Q26" i="8" s="1"/>
  <c r="N29" i="8"/>
  <c r="Q29" i="8" s="1"/>
  <c r="N20" i="8"/>
  <c r="Q20" i="8" s="1"/>
  <c r="N23" i="8"/>
  <c r="Q23" i="8" s="1"/>
  <c r="N17" i="8"/>
  <c r="Q17" i="8" s="1"/>
  <c r="E34" i="8" l="1"/>
  <c r="E37" i="8"/>
  <c r="W37" i="8" s="1"/>
  <c r="E28" i="8"/>
  <c r="AC28" i="8" s="1"/>
  <c r="E31" i="8"/>
  <c r="E22" i="8"/>
  <c r="AD22" i="8" s="1"/>
  <c r="E25" i="8"/>
  <c r="E19" i="8"/>
  <c r="AD19" i="8" s="1"/>
  <c r="AB34" i="8" l="1"/>
  <c r="AA34" i="8"/>
  <c r="AD34" i="8"/>
  <c r="AE34" i="8"/>
  <c r="Z34" i="8"/>
  <c r="AC34" i="8"/>
  <c r="D37" i="8"/>
  <c r="AB37" i="8"/>
  <c r="Z28" i="8"/>
  <c r="AA28" i="8"/>
  <c r="AB28" i="8"/>
  <c r="V37" i="8"/>
  <c r="AD37" i="8"/>
  <c r="AC37" i="8"/>
  <c r="AA37" i="8"/>
  <c r="X37" i="8"/>
  <c r="Y37" i="8"/>
  <c r="AD28" i="8"/>
  <c r="AE28" i="8"/>
  <c r="AE37" i="8"/>
  <c r="T37" i="8"/>
  <c r="U37" i="8"/>
  <c r="AD25" i="8"/>
  <c r="AC25" i="8"/>
  <c r="AA25" i="8"/>
  <c r="AE31" i="8"/>
  <c r="AC22" i="8"/>
  <c r="AD31" i="8"/>
  <c r="AE22" i="8"/>
  <c r="Z31" i="8"/>
  <c r="AA31" i="8"/>
  <c r="AB25" i="8"/>
  <c r="AB31" i="8"/>
  <c r="AB19" i="8"/>
  <c r="Z25" i="8"/>
  <c r="AC31" i="8"/>
  <c r="AE19" i="8"/>
  <c r="AE25" i="8"/>
  <c r="AA22" i="8"/>
  <c r="Z22" i="8"/>
  <c r="AB22" i="8"/>
  <c r="Z19" i="8"/>
  <c r="AA19" i="8"/>
  <c r="AC19" i="8"/>
  <c r="AN17" i="5" l="1"/>
  <c r="AW27" i="6" l="1"/>
  <c r="AW43" i="6"/>
  <c r="AW21" i="6"/>
  <c r="AW26" i="6"/>
  <c r="AW22" i="6"/>
  <c r="AW18" i="6"/>
  <c r="AW44" i="6"/>
  <c r="AW40" i="6"/>
  <c r="AW34" i="6"/>
  <c r="AW35" i="6"/>
  <c r="AW47" i="6"/>
  <c r="AW28" i="6"/>
  <c r="AW46" i="6"/>
  <c r="AW45" i="6"/>
  <c r="AW19" i="6"/>
  <c r="AW38" i="6"/>
  <c r="AW32" i="6"/>
  <c r="AW31" i="6"/>
  <c r="AW23" i="6"/>
  <c r="AW25" i="6"/>
  <c r="AW37" i="6" l="1"/>
  <c r="AW41" i="6"/>
  <c r="AW24" i="6"/>
  <c r="AW48" i="6"/>
  <c r="AW15" i="6" l="1"/>
  <c r="AD15" i="6" s="1"/>
  <c r="AV29" i="6" l="1"/>
  <c r="AF14" i="5"/>
  <c r="AF29" i="5"/>
  <c r="AF46" i="5"/>
  <c r="AF20" i="5"/>
  <c r="AF47" i="5"/>
  <c r="AF43" i="5"/>
  <c r="AF35" i="5"/>
  <c r="AF22" i="5"/>
  <c r="AF17" i="5"/>
  <c r="AF23" i="5"/>
  <c r="AF28" i="5"/>
  <c r="AF16" i="5"/>
  <c r="AF44" i="5"/>
  <c r="AF34" i="5"/>
  <c r="AF45" i="5"/>
  <c r="AF18" i="5"/>
  <c r="AF24" i="5"/>
  <c r="AF25" i="5"/>
  <c r="AF41" i="5"/>
  <c r="AF37" i="5"/>
  <c r="AF27" i="5"/>
  <c r="AF30" i="5"/>
  <c r="AF33" i="5"/>
  <c r="AF32" i="5"/>
  <c r="AF38" i="5"/>
  <c r="AF21" i="5"/>
  <c r="AF40" i="5"/>
  <c r="AF48" i="5"/>
  <c r="AF31" i="5"/>
  <c r="AF19" i="5"/>
  <c r="AF26" i="5"/>
  <c r="S17" i="5" l="1"/>
  <c r="F17" i="12" s="1"/>
  <c r="AG17" i="5"/>
  <c r="AG33" i="5"/>
  <c r="S33" i="5"/>
  <c r="F33" i="12" s="1"/>
  <c r="AG29" i="5"/>
  <c r="U29" i="5" s="1"/>
  <c r="S29" i="5"/>
  <c r="S16" i="5"/>
  <c r="F16" i="12" s="1"/>
  <c r="AG16" i="5"/>
  <c r="AG20" i="5"/>
  <c r="S20" i="5"/>
  <c r="F20" i="12" s="1"/>
  <c r="S30" i="5"/>
  <c r="F30" i="12" s="1"/>
  <c r="AG30" i="5"/>
  <c r="S14" i="5"/>
  <c r="AG14" i="5"/>
  <c r="R14" i="5"/>
  <c r="AV43" i="6"/>
  <c r="AV45" i="6"/>
  <c r="AV22" i="6"/>
  <c r="AV19" i="6"/>
  <c r="AV26" i="6"/>
  <c r="AV44" i="6"/>
  <c r="AV18" i="6"/>
  <c r="AV37" i="6"/>
  <c r="AV47" i="6"/>
  <c r="AV28" i="6"/>
  <c r="AV38" i="6"/>
  <c r="AV24" i="6"/>
  <c r="AV27" i="6"/>
  <c r="AV46" i="6"/>
  <c r="AV31" i="6"/>
  <c r="AV41" i="6"/>
  <c r="AV25" i="6"/>
  <c r="AV35" i="6"/>
  <c r="AV21" i="6"/>
  <c r="AV23" i="6"/>
  <c r="AV40" i="6"/>
  <c r="AV48" i="6"/>
  <c r="AV32" i="6"/>
  <c r="AV34" i="6"/>
  <c r="R43" i="5"/>
  <c r="R45" i="5"/>
  <c r="R18" i="5"/>
  <c r="S46" i="5"/>
  <c r="AG32" i="5"/>
  <c r="R46" i="5"/>
  <c r="AG37" i="5"/>
  <c r="S40" i="5"/>
  <c r="S28" i="5"/>
  <c r="R41" i="5"/>
  <c r="R25" i="5"/>
  <c r="AG31" i="5"/>
  <c r="AG45" i="5"/>
  <c r="AG47" i="5"/>
  <c r="R38" i="5"/>
  <c r="S23" i="5"/>
  <c r="R22" i="5"/>
  <c r="R35" i="5"/>
  <c r="AG48" i="5"/>
  <c r="AG41" i="5"/>
  <c r="S48" i="5"/>
  <c r="AG28" i="5"/>
  <c r="R44" i="5"/>
  <c r="AG24" i="5"/>
  <c r="R24" i="5"/>
  <c r="R19" i="5"/>
  <c r="S38" i="5"/>
  <c r="S21" i="5"/>
  <c r="AG22" i="5"/>
  <c r="S43" i="5"/>
  <c r="S31" i="5"/>
  <c r="AG19" i="5"/>
  <c r="AG25" i="5"/>
  <c r="R26" i="5"/>
  <c r="AG44" i="5"/>
  <c r="AG21" i="5"/>
  <c r="AG34" i="5"/>
  <c r="S34" i="5"/>
  <c r="S19" i="5"/>
  <c r="R32" i="5"/>
  <c r="S41" i="5"/>
  <c r="AG18" i="5"/>
  <c r="R28" i="5"/>
  <c r="S32" i="5"/>
  <c r="R40" i="5"/>
  <c r="R34" i="5"/>
  <c r="AG43" i="5"/>
  <c r="S47" i="5"/>
  <c r="AG35" i="5"/>
  <c r="AG23" i="5"/>
  <c r="AG46" i="5"/>
  <c r="AG38" i="5"/>
  <c r="S27" i="5"/>
  <c r="S44" i="5"/>
  <c r="R23" i="5"/>
  <c r="S37" i="5"/>
  <c r="R47" i="5"/>
  <c r="R27" i="5"/>
  <c r="S25" i="5"/>
  <c r="AG26" i="5"/>
  <c r="S35" i="5"/>
  <c r="R37" i="5"/>
  <c r="R48" i="5"/>
  <c r="R21" i="5"/>
  <c r="S22" i="5"/>
  <c r="S18" i="5"/>
  <c r="AG27" i="5"/>
  <c r="R31" i="5"/>
  <c r="S24" i="5"/>
  <c r="S26" i="5"/>
  <c r="AG40" i="5"/>
  <c r="S45" i="5"/>
  <c r="U46" i="5" l="1"/>
  <c r="W46" i="5" s="1"/>
  <c r="U31" i="5"/>
  <c r="W31" i="5" s="1"/>
  <c r="U28" i="5"/>
  <c r="U47" i="5"/>
  <c r="W47" i="5" s="1"/>
  <c r="U24" i="5"/>
  <c r="U21" i="5"/>
  <c r="W21" i="5" s="1"/>
  <c r="U40" i="5"/>
  <c r="W40" i="5" s="1"/>
  <c r="U23" i="5"/>
  <c r="W23" i="5" s="1"/>
  <c r="U48" i="5"/>
  <c r="AN48" i="5" s="1"/>
  <c r="U44" i="5"/>
  <c r="AN44" i="5" s="1"/>
  <c r="U43" i="5"/>
  <c r="AN43" i="5" s="1"/>
  <c r="U35" i="5"/>
  <c r="W35" i="5" s="1"/>
  <c r="U34" i="5"/>
  <c r="AN34" i="5" s="1"/>
  <c r="U27" i="5"/>
  <c r="W27" i="5" s="1"/>
  <c r="U45" i="5"/>
  <c r="AN45" i="5" s="1"/>
  <c r="U41" i="5"/>
  <c r="AN41" i="5" s="1"/>
  <c r="U19" i="5"/>
  <c r="AN19" i="5" s="1"/>
  <c r="U32" i="5"/>
  <c r="W32" i="5" s="1"/>
  <c r="U22" i="5"/>
  <c r="AN22" i="5" s="1"/>
  <c r="U26" i="5"/>
  <c r="AN26" i="5" s="1"/>
  <c r="U37" i="5"/>
  <c r="W37" i="5" s="1"/>
  <c r="U25" i="5"/>
  <c r="AN25" i="5" s="1"/>
  <c r="U38" i="5"/>
  <c r="AN38" i="5" s="1"/>
  <c r="U30" i="5"/>
  <c r="AN30" i="5" s="1"/>
  <c r="U20" i="5"/>
  <c r="AN20" i="5" s="1"/>
  <c r="U33" i="5"/>
  <c r="AN33" i="5" s="1"/>
  <c r="U18" i="5"/>
  <c r="W18" i="5" s="1"/>
  <c r="E28" i="12"/>
  <c r="F28" i="6"/>
  <c r="F21" i="12"/>
  <c r="G21" i="6"/>
  <c r="F47" i="6"/>
  <c r="E47" i="12"/>
  <c r="E43" i="12"/>
  <c r="F43" i="6"/>
  <c r="E48" i="12"/>
  <c r="F48" i="6"/>
  <c r="G24" i="6"/>
  <c r="F24" i="12"/>
  <c r="F44" i="12"/>
  <c r="G44" i="6"/>
  <c r="G35" i="6"/>
  <c r="F35" i="12"/>
  <c r="F46" i="12"/>
  <c r="G46" i="6"/>
  <c r="G47" i="6"/>
  <c r="F47" i="12"/>
  <c r="F43" i="12"/>
  <c r="G43" i="6"/>
  <c r="E40" i="12"/>
  <c r="F40" i="6"/>
  <c r="F24" i="6"/>
  <c r="E24" i="12"/>
  <c r="F23" i="6"/>
  <c r="E23" i="12"/>
  <c r="E35" i="12"/>
  <c r="F35" i="6"/>
  <c r="G27" i="6"/>
  <c r="F27" i="12"/>
  <c r="F18" i="6"/>
  <c r="E18" i="12"/>
  <c r="E45" i="12"/>
  <c r="F45" i="6"/>
  <c r="F23" i="12"/>
  <c r="G23" i="6"/>
  <c r="F44" i="6"/>
  <c r="E44" i="12"/>
  <c r="F27" i="6"/>
  <c r="E27" i="12"/>
  <c r="G45" i="6"/>
  <c r="F45" i="12"/>
  <c r="F41" i="6"/>
  <c r="E41" i="12"/>
  <c r="F29" i="12"/>
  <c r="G29" i="6"/>
  <c r="E32" i="12"/>
  <c r="F32" i="6"/>
  <c r="F40" i="12"/>
  <c r="G40" i="6"/>
  <c r="F34" i="6"/>
  <c r="E34" i="12"/>
  <c r="F18" i="12"/>
  <c r="G18" i="6"/>
  <c r="W29" i="5"/>
  <c r="AN29" i="5"/>
  <c r="F32" i="12"/>
  <c r="G32" i="6"/>
  <c r="E21" i="12"/>
  <c r="F21" i="6"/>
  <c r="G34" i="6"/>
  <c r="F34" i="12"/>
  <c r="G26" i="6"/>
  <c r="F26" i="12"/>
  <c r="G41" i="6"/>
  <c r="F41" i="12"/>
  <c r="G37" i="6"/>
  <c r="F37" i="12"/>
  <c r="E31" i="12"/>
  <c r="F31" i="6"/>
  <c r="G28" i="6"/>
  <c r="F28" i="12"/>
  <c r="E14" i="12"/>
  <c r="AC14" i="5"/>
  <c r="F14" i="6"/>
  <c r="F19" i="12"/>
  <c r="G19" i="6"/>
  <c r="F25" i="12"/>
  <c r="G25" i="6"/>
  <c r="E38" i="12"/>
  <c r="F38" i="6"/>
  <c r="F48" i="12"/>
  <c r="G48" i="6"/>
  <c r="G22" i="6"/>
  <c r="F22" i="12"/>
  <c r="F19" i="6"/>
  <c r="E19" i="12"/>
  <c r="F26" i="6"/>
  <c r="E26" i="12"/>
  <c r="F25" i="6"/>
  <c r="E25" i="12"/>
  <c r="F37" i="6"/>
  <c r="E37" i="12"/>
  <c r="G38" i="6"/>
  <c r="F38" i="12"/>
  <c r="AN28" i="5"/>
  <c r="W28" i="5"/>
  <c r="AN24" i="5"/>
  <c r="W24" i="5"/>
  <c r="G14" i="6"/>
  <c r="F14" i="12"/>
  <c r="F22" i="6"/>
  <c r="E22" i="12"/>
  <c r="E46" i="12"/>
  <c r="F46" i="6"/>
  <c r="G31" i="6"/>
  <c r="F31" i="12"/>
  <c r="AV15" i="6"/>
  <c r="AC15" i="6" s="1"/>
  <c r="W22" i="5" l="1"/>
  <c r="H22" i="12" s="1"/>
  <c r="W38" i="5"/>
  <c r="H38" i="12" s="1"/>
  <c r="AN35" i="5"/>
  <c r="W19" i="5"/>
  <c r="X19" i="5" s="1"/>
  <c r="W48" i="5"/>
  <c r="H48" i="12" s="1"/>
  <c r="W25" i="5"/>
  <c r="H25" i="12" s="1"/>
  <c r="W41" i="5"/>
  <c r="X41" i="5" s="1"/>
  <c r="W43" i="5"/>
  <c r="X43" i="5" s="1"/>
  <c r="AN37" i="5"/>
  <c r="AN18" i="5"/>
  <c r="AN27" i="5"/>
  <c r="AN23" i="5"/>
  <c r="W26" i="5"/>
  <c r="H26" i="12" s="1"/>
  <c r="AN32" i="5"/>
  <c r="W34" i="5"/>
  <c r="H34" i="12" s="1"/>
  <c r="AN21" i="5"/>
  <c r="AN31" i="5"/>
  <c r="W45" i="5"/>
  <c r="X45" i="5" s="1"/>
  <c r="AN47" i="5"/>
  <c r="AN46" i="5"/>
  <c r="W44" i="5"/>
  <c r="X44" i="5" s="1"/>
  <c r="AN40" i="5"/>
  <c r="X32" i="5"/>
  <c r="H32" i="12"/>
  <c r="X47" i="5"/>
  <c r="H47" i="12"/>
  <c r="X23" i="5"/>
  <c r="H23" i="12"/>
  <c r="H31" i="12"/>
  <c r="X31" i="5"/>
  <c r="X27" i="5"/>
  <c r="H27" i="12"/>
  <c r="X18" i="5"/>
  <c r="H18" i="12"/>
  <c r="X37" i="5"/>
  <c r="H37" i="12"/>
  <c r="X29" i="5"/>
  <c r="H29" i="12"/>
  <c r="H21" i="12"/>
  <c r="X21" i="5"/>
  <c r="X46" i="5"/>
  <c r="H46" i="12"/>
  <c r="X24" i="5"/>
  <c r="H24" i="12"/>
  <c r="X40" i="5"/>
  <c r="H40" i="12"/>
  <c r="H28" i="12"/>
  <c r="X28" i="5"/>
  <c r="H35" i="12"/>
  <c r="X35" i="5"/>
  <c r="X22" i="5" l="1"/>
  <c r="H19" i="12"/>
  <c r="X38" i="5"/>
  <c r="AR38" i="6" s="1"/>
  <c r="X25" i="5"/>
  <c r="AK25" i="6" s="1"/>
  <c r="H41" i="12"/>
  <c r="X48" i="5"/>
  <c r="X34" i="5"/>
  <c r="H43" i="12"/>
  <c r="H45" i="12"/>
  <c r="X26" i="5"/>
  <c r="AP26" i="6" s="1"/>
  <c r="H44" i="12"/>
  <c r="AQ28" i="6"/>
  <c r="AO28" i="6"/>
  <c r="AT28" i="6"/>
  <c r="AM28" i="6"/>
  <c r="AJ28" i="6"/>
  <c r="AK28" i="6"/>
  <c r="I28" i="12"/>
  <c r="AR28" i="6"/>
  <c r="AM28" i="5"/>
  <c r="AP28" i="6"/>
  <c r="L28" i="5"/>
  <c r="AL28" i="6"/>
  <c r="Z28" i="5"/>
  <c r="AB28" i="5" s="1"/>
  <c r="AS28" i="6"/>
  <c r="AU28" i="6"/>
  <c r="AN28" i="6"/>
  <c r="AC28" i="5"/>
  <c r="AO27" i="6"/>
  <c r="AR27" i="6"/>
  <c r="Z27" i="5"/>
  <c r="AB27" i="5" s="1"/>
  <c r="AU27" i="6"/>
  <c r="AM27" i="6"/>
  <c r="AT27" i="6"/>
  <c r="I27" i="12"/>
  <c r="AK27" i="6"/>
  <c r="L27" i="5"/>
  <c r="AQ27" i="6"/>
  <c r="AL27" i="6"/>
  <c r="AM27" i="5"/>
  <c r="AJ27" i="6"/>
  <c r="AS27" i="6"/>
  <c r="AP27" i="6"/>
  <c r="AC27" i="5"/>
  <c r="AN27" i="6"/>
  <c r="AU21" i="6"/>
  <c r="AL21" i="6"/>
  <c r="I21" i="12"/>
  <c r="AP21" i="6"/>
  <c r="Z21" i="5"/>
  <c r="AB21" i="5" s="1"/>
  <c r="I21" i="5"/>
  <c r="AO21" i="6"/>
  <c r="AQ21" i="6"/>
  <c r="AM21" i="5"/>
  <c r="AN21" i="6"/>
  <c r="L21" i="5"/>
  <c r="AK21" i="6"/>
  <c r="AT21" i="6"/>
  <c r="AM21" i="6"/>
  <c r="AR21" i="6"/>
  <c r="AS21" i="6"/>
  <c r="AJ21" i="6"/>
  <c r="AC21" i="5"/>
  <c r="AM31" i="5"/>
  <c r="I31" i="5"/>
  <c r="I32" i="5" s="1"/>
  <c r="AN31" i="6"/>
  <c r="AC31" i="5"/>
  <c r="Z31" i="5"/>
  <c r="AB31" i="5" s="1"/>
  <c r="AQ31" i="6"/>
  <c r="AO31" i="6"/>
  <c r="X30" i="5"/>
  <c r="AL31" i="6"/>
  <c r="AJ31" i="6"/>
  <c r="AT31" i="6"/>
  <c r="L31" i="5"/>
  <c r="AR31" i="6"/>
  <c r="AK31" i="6"/>
  <c r="AU31" i="6"/>
  <c r="AP31" i="6"/>
  <c r="AS31" i="6"/>
  <c r="I31" i="12"/>
  <c r="AM31" i="6"/>
  <c r="I41" i="12"/>
  <c r="AM41" i="5"/>
  <c r="AT41" i="6"/>
  <c r="AU41" i="6"/>
  <c r="AR41" i="6"/>
  <c r="AO41" i="6"/>
  <c r="AN41" i="6"/>
  <c r="L41" i="5"/>
  <c r="AQ41" i="6"/>
  <c r="AC41" i="5"/>
  <c r="AL41" i="6"/>
  <c r="AJ41" i="6"/>
  <c r="Z41" i="5"/>
  <c r="AB41" i="5" s="1"/>
  <c r="AP41" i="6"/>
  <c r="AK41" i="6"/>
  <c r="AS41" i="6"/>
  <c r="AM41" i="6"/>
  <c r="AJ25" i="6"/>
  <c r="AO25" i="6"/>
  <c r="AQ25" i="6"/>
  <c r="L25" i="5"/>
  <c r="AR25" i="6"/>
  <c r="AL25" i="6"/>
  <c r="I25" i="12"/>
  <c r="AL24" i="6"/>
  <c r="I24" i="12"/>
  <c r="L24" i="5"/>
  <c r="AM24" i="5"/>
  <c r="Z24" i="5"/>
  <c r="AB24" i="5" s="1"/>
  <c r="AC24" i="5"/>
  <c r="AP24" i="6"/>
  <c r="AN24" i="6"/>
  <c r="AJ24" i="6"/>
  <c r="AO24" i="6"/>
  <c r="AQ24" i="6"/>
  <c r="AR24" i="6"/>
  <c r="AT24" i="6"/>
  <c r="AU24" i="6"/>
  <c r="AS24" i="6"/>
  <c r="AM24" i="6"/>
  <c r="AK24" i="6"/>
  <c r="AS38" i="6"/>
  <c r="AJ38" i="6"/>
  <c r="AO38" i="6"/>
  <c r="AM38" i="5"/>
  <c r="I38" i="12"/>
  <c r="AT38" i="6"/>
  <c r="AP38" i="6"/>
  <c r="AK38" i="6"/>
  <c r="AQ38" i="6"/>
  <c r="AN38" i="6"/>
  <c r="AC38" i="5"/>
  <c r="L38" i="5"/>
  <c r="AT43" i="6"/>
  <c r="Z43" i="5"/>
  <c r="AB43" i="5" s="1"/>
  <c r="AC43" i="5"/>
  <c r="X42" i="5"/>
  <c r="I43" i="5"/>
  <c r="I44" i="5" s="1"/>
  <c r="I45" i="5" s="1"/>
  <c r="I46" i="5" s="1"/>
  <c r="I47" i="5" s="1"/>
  <c r="AQ43" i="6"/>
  <c r="AN43" i="6"/>
  <c r="AM43" i="5"/>
  <c r="AL43" i="6"/>
  <c r="I43" i="12"/>
  <c r="AU43" i="6"/>
  <c r="AM43" i="6"/>
  <c r="L43" i="5"/>
  <c r="AP43" i="6"/>
  <c r="AS43" i="6"/>
  <c r="AO43" i="6"/>
  <c r="AR43" i="6"/>
  <c r="AK43" i="6"/>
  <c r="AJ43" i="6"/>
  <c r="L44" i="5"/>
  <c r="AT44" i="6"/>
  <c r="AK44" i="6"/>
  <c r="AL44" i="6"/>
  <c r="I44" i="12"/>
  <c r="AM44" i="5"/>
  <c r="Z44" i="5"/>
  <c r="AB44" i="5" s="1"/>
  <c r="AJ44" i="6"/>
  <c r="AS44" i="6"/>
  <c r="AC44" i="5"/>
  <c r="AR44" i="6"/>
  <c r="AU44" i="6"/>
  <c r="AN44" i="6"/>
  <c r="AM44" i="6"/>
  <c r="AP44" i="6"/>
  <c r="AQ44" i="6"/>
  <c r="AO44" i="6"/>
  <c r="AT23" i="6"/>
  <c r="Z23" i="5"/>
  <c r="AB23" i="5" s="1"/>
  <c r="AM23" i="6"/>
  <c r="AR23" i="6"/>
  <c r="AM23" i="5"/>
  <c r="AU23" i="6"/>
  <c r="AP23" i="6"/>
  <c r="AO23" i="6"/>
  <c r="AL23" i="6"/>
  <c r="AS23" i="6"/>
  <c r="AK23" i="6"/>
  <c r="AJ23" i="6"/>
  <c r="AN23" i="6"/>
  <c r="AC23" i="5"/>
  <c r="AQ23" i="6"/>
  <c r="L23" i="5"/>
  <c r="I23" i="12"/>
  <c r="AR45" i="6"/>
  <c r="I45" i="12"/>
  <c r="AJ45" i="6"/>
  <c r="AU45" i="6"/>
  <c r="AQ45" i="6"/>
  <c r="AT45" i="6"/>
  <c r="AL45" i="6"/>
  <c r="AO45" i="6"/>
  <c r="Z45" i="5"/>
  <c r="AB45" i="5" s="1"/>
  <c r="AM45" i="6"/>
  <c r="AC45" i="5"/>
  <c r="AK45" i="6"/>
  <c r="AN45" i="6"/>
  <c r="AP45" i="6"/>
  <c r="L45" i="5"/>
  <c r="AS45" i="6"/>
  <c r="AM45" i="5"/>
  <c r="AK22" i="6"/>
  <c r="AM22" i="6"/>
  <c r="AS22" i="6"/>
  <c r="AO22" i="6"/>
  <c r="AQ22" i="6"/>
  <c r="AP22" i="6"/>
  <c r="AJ22" i="6"/>
  <c r="L22" i="5"/>
  <c r="AU22" i="6"/>
  <c r="AC22" i="5"/>
  <c r="I22" i="12"/>
  <c r="Z22" i="5"/>
  <c r="AB22" i="5" s="1"/>
  <c r="AN22" i="6"/>
  <c r="AL22" i="6"/>
  <c r="AR22" i="6"/>
  <c r="AT22" i="6"/>
  <c r="AM22" i="5"/>
  <c r="L29" i="5"/>
  <c r="Z29" i="5"/>
  <c r="AP29" i="6"/>
  <c r="AK29" i="6"/>
  <c r="AO29" i="6"/>
  <c r="AU29" i="6"/>
  <c r="AT29" i="6"/>
  <c r="AQ29" i="6"/>
  <c r="AN29" i="6"/>
  <c r="AL29" i="6"/>
  <c r="AR29" i="6"/>
  <c r="AS29" i="6"/>
  <c r="AM29" i="6"/>
  <c r="I29" i="12"/>
  <c r="AJ29" i="6"/>
  <c r="AM29" i="5"/>
  <c r="AC29" i="5"/>
  <c r="I47" i="12"/>
  <c r="AS47" i="6"/>
  <c r="AT47" i="6"/>
  <c r="Z47" i="5"/>
  <c r="AB47" i="5" s="1"/>
  <c r="L47" i="5"/>
  <c r="AK47" i="6"/>
  <c r="AR47" i="6"/>
  <c r="AL47" i="6"/>
  <c r="AN47" i="6"/>
  <c r="AM47" i="6"/>
  <c r="AM47" i="5"/>
  <c r="AQ47" i="6"/>
  <c r="AU47" i="6"/>
  <c r="AO47" i="6"/>
  <c r="AP47" i="6"/>
  <c r="AJ47" i="6"/>
  <c r="AC47" i="5"/>
  <c r="AK40" i="6"/>
  <c r="AM40" i="5"/>
  <c r="AT40" i="6"/>
  <c r="Z40" i="5"/>
  <c r="AB40" i="5" s="1"/>
  <c r="AJ40" i="6"/>
  <c r="I40" i="12"/>
  <c r="AR40" i="6"/>
  <c r="I40" i="5"/>
  <c r="I41" i="5" s="1"/>
  <c r="AO40" i="6"/>
  <c r="AM40" i="6"/>
  <c r="AN40" i="6"/>
  <c r="AS40" i="6"/>
  <c r="AL40" i="6"/>
  <c r="AP40" i="6"/>
  <c r="X39" i="5"/>
  <c r="AQ40" i="6"/>
  <c r="AU40" i="6"/>
  <c r="L40" i="5"/>
  <c r="AC40" i="5"/>
  <c r="AO34" i="6"/>
  <c r="AM34" i="5"/>
  <c r="AN34" i="6"/>
  <c r="Z34" i="5"/>
  <c r="AB34" i="5" s="1"/>
  <c r="AC34" i="5"/>
  <c r="AR34" i="6"/>
  <c r="X33" i="5"/>
  <c r="AJ34" i="6"/>
  <c r="AL34" i="6"/>
  <c r="AP34" i="6"/>
  <c r="AM34" i="6"/>
  <c r="AQ34" i="6"/>
  <c r="AS34" i="6"/>
  <c r="AU34" i="6"/>
  <c r="AT34" i="6"/>
  <c r="I34" i="12"/>
  <c r="L34" i="5"/>
  <c r="I34" i="5"/>
  <c r="I35" i="5" s="1"/>
  <c r="AK34" i="6"/>
  <c r="AS37" i="6"/>
  <c r="I37" i="12"/>
  <c r="AM37" i="5"/>
  <c r="AP37" i="6"/>
  <c r="AJ37" i="6"/>
  <c r="AT37" i="6"/>
  <c r="AC37" i="5"/>
  <c r="AR37" i="6"/>
  <c r="AM37" i="6"/>
  <c r="AQ37" i="6"/>
  <c r="AU37" i="6"/>
  <c r="Z37" i="5"/>
  <c r="AB37" i="5" s="1"/>
  <c r="I37" i="5"/>
  <c r="I38" i="5" s="1"/>
  <c r="AN37" i="6"/>
  <c r="AL37" i="6"/>
  <c r="AK37" i="6"/>
  <c r="L37" i="5"/>
  <c r="AO37" i="6"/>
  <c r="X36" i="5"/>
  <c r="AU32" i="6"/>
  <c r="AM32" i="6"/>
  <c r="AQ32" i="6"/>
  <c r="AL32" i="6"/>
  <c r="AT32" i="6"/>
  <c r="I32" i="12"/>
  <c r="AC32" i="5"/>
  <c r="AS32" i="6"/>
  <c r="AK32" i="6"/>
  <c r="AO32" i="6"/>
  <c r="L32" i="5"/>
  <c r="AR32" i="6"/>
  <c r="AJ32" i="6"/>
  <c r="AM32" i="5"/>
  <c r="Z32" i="5"/>
  <c r="AB32" i="5" s="1"/>
  <c r="AP32" i="6"/>
  <c r="AN32" i="6"/>
  <c r="AR35" i="6"/>
  <c r="I35" i="12"/>
  <c r="Z35" i="5"/>
  <c r="AB35" i="5" s="1"/>
  <c r="AQ35" i="6"/>
  <c r="AO35" i="6"/>
  <c r="AM35" i="5"/>
  <c r="AS35" i="6"/>
  <c r="AN35" i="6"/>
  <c r="AT35" i="6"/>
  <c r="AM35" i="6"/>
  <c r="AC35" i="5"/>
  <c r="AU35" i="6"/>
  <c r="AK35" i="6"/>
  <c r="L35" i="5"/>
  <c r="AL35" i="6"/>
  <c r="AP35" i="6"/>
  <c r="AJ35" i="6"/>
  <c r="L19" i="5"/>
  <c r="AJ19" i="6"/>
  <c r="AM19" i="6"/>
  <c r="AN19" i="6"/>
  <c r="AQ19" i="6"/>
  <c r="AK19" i="6"/>
  <c r="AS19" i="6"/>
  <c r="I19" i="12"/>
  <c r="AO19" i="6"/>
  <c r="AC19" i="5"/>
  <c r="AT19" i="6"/>
  <c r="AR19" i="6"/>
  <c r="AM19" i="5"/>
  <c r="AL19" i="6"/>
  <c r="AU19" i="6"/>
  <c r="Z19" i="5"/>
  <c r="AB19" i="5" s="1"/>
  <c r="AP19" i="6"/>
  <c r="AM48" i="5"/>
  <c r="AM48" i="6"/>
  <c r="AJ48" i="6"/>
  <c r="AU48" i="6"/>
  <c r="AN48" i="6"/>
  <c r="AK48" i="6"/>
  <c r="Z48" i="5"/>
  <c r="AB48" i="5" s="1"/>
  <c r="AT48" i="6"/>
  <c r="AP48" i="6"/>
  <c r="AR48" i="6"/>
  <c r="L48" i="5"/>
  <c r="AQ48" i="6"/>
  <c r="AS48" i="6"/>
  <c r="AL48" i="6"/>
  <c r="I48" i="12"/>
  <c r="AO48" i="6"/>
  <c r="AC48" i="5"/>
  <c r="AU46" i="6"/>
  <c r="AT46" i="6"/>
  <c r="Z46" i="5"/>
  <c r="AB46" i="5" s="1"/>
  <c r="L46" i="5"/>
  <c r="AP46" i="6"/>
  <c r="AO46" i="6"/>
  <c r="AM46" i="6"/>
  <c r="I46" i="12"/>
  <c r="AL46" i="6"/>
  <c r="AJ46" i="6"/>
  <c r="AS46" i="6"/>
  <c r="AM46" i="5"/>
  <c r="AQ46" i="6"/>
  <c r="AN46" i="6"/>
  <c r="AR46" i="6"/>
  <c r="AK46" i="6"/>
  <c r="AC46" i="5"/>
  <c r="AN18" i="6"/>
  <c r="Z18" i="5"/>
  <c r="AB18" i="5" s="1"/>
  <c r="AP18" i="6"/>
  <c r="X17" i="5"/>
  <c r="I18" i="12"/>
  <c r="AK18" i="6"/>
  <c r="AC18" i="5"/>
  <c r="AM18" i="6"/>
  <c r="AL18" i="6"/>
  <c r="AS18" i="6"/>
  <c r="AM18" i="5"/>
  <c r="X15" i="5"/>
  <c r="L18" i="5"/>
  <c r="AT18" i="6"/>
  <c r="AO18" i="6"/>
  <c r="AQ18" i="6"/>
  <c r="AR18" i="6"/>
  <c r="I18" i="5"/>
  <c r="I19" i="5" s="1"/>
  <c r="AJ18" i="6"/>
  <c r="AU18" i="6"/>
  <c r="X16" i="5" l="1"/>
  <c r="AT25" i="6"/>
  <c r="Z25" i="5"/>
  <c r="AB25" i="5" s="1"/>
  <c r="AS25" i="6"/>
  <c r="Z38" i="5"/>
  <c r="AB38" i="5" s="1"/>
  <c r="AB36" i="5" s="1"/>
  <c r="AP25" i="6"/>
  <c r="AL38" i="6"/>
  <c r="AN25" i="6"/>
  <c r="V22" i="8" s="1"/>
  <c r="AM38" i="6"/>
  <c r="AU38" i="6"/>
  <c r="Y31" i="8" s="1"/>
  <c r="AM25" i="6"/>
  <c r="I48" i="5"/>
  <c r="I49" i="5" s="1"/>
  <c r="I50" i="5" s="1"/>
  <c r="I51" i="5" s="1"/>
  <c r="AC25" i="5"/>
  <c r="AB39" i="5"/>
  <c r="I22" i="5"/>
  <c r="I23" i="5" s="1"/>
  <c r="I24" i="5" s="1"/>
  <c r="I25" i="5" s="1"/>
  <c r="AM25" i="5"/>
  <c r="AU25" i="6"/>
  <c r="AN26" i="6"/>
  <c r="X20" i="5"/>
  <c r="AU26" i="6"/>
  <c r="AM26" i="5"/>
  <c r="AO26" i="6"/>
  <c r="AO15" i="6" s="1"/>
  <c r="V15" i="6" s="1"/>
  <c r="AL26" i="6"/>
  <c r="I26" i="12"/>
  <c r="M26" i="12" s="1"/>
  <c r="AJ26" i="6"/>
  <c r="AJ15" i="6" s="1"/>
  <c r="Q15" i="6" s="1"/>
  <c r="L26" i="5"/>
  <c r="C26" i="6" s="1"/>
  <c r="AK26" i="6"/>
  <c r="AK15" i="6" s="1"/>
  <c r="R15" i="6" s="1"/>
  <c r="AQ26" i="6"/>
  <c r="AQ15" i="6" s="1"/>
  <c r="X15" i="6" s="1"/>
  <c r="AC26" i="5"/>
  <c r="AS26" i="6"/>
  <c r="AM26" i="6"/>
  <c r="AR26" i="6"/>
  <c r="AT26" i="6"/>
  <c r="Z26" i="5"/>
  <c r="AB26" i="5" s="1"/>
  <c r="X31" i="8"/>
  <c r="Y28" i="8"/>
  <c r="V28" i="8"/>
  <c r="W34" i="8"/>
  <c r="W28" i="8"/>
  <c r="M22" i="12"/>
  <c r="C22" i="12"/>
  <c r="O22" i="12"/>
  <c r="AO22" i="12"/>
  <c r="C31" i="6"/>
  <c r="O31" i="5"/>
  <c r="U19" i="8"/>
  <c r="O37" i="5"/>
  <c r="C37" i="6"/>
  <c r="D31" i="8"/>
  <c r="T31" i="8"/>
  <c r="X34" i="8"/>
  <c r="C45" i="6"/>
  <c r="O45" i="5"/>
  <c r="C44" i="6"/>
  <c r="O44" i="5"/>
  <c r="Y25" i="8"/>
  <c r="K32" i="10"/>
  <c r="S32" i="10"/>
  <c r="M32" i="10"/>
  <c r="U32" i="10"/>
  <c r="W32" i="10"/>
  <c r="I32" i="10"/>
  <c r="Q32" i="10"/>
  <c r="AA32" i="10"/>
  <c r="AE32" i="10"/>
  <c r="Y32" i="10"/>
  <c r="AM15" i="5"/>
  <c r="Z15" i="5"/>
  <c r="AC32" i="10"/>
  <c r="O32" i="10"/>
  <c r="C19" i="6"/>
  <c r="O19" i="5"/>
  <c r="AO47" i="12"/>
  <c r="M47" i="12"/>
  <c r="C47" i="12"/>
  <c r="O47" i="12"/>
  <c r="T19" i="8"/>
  <c r="D19" i="8"/>
  <c r="C40" i="6"/>
  <c r="O40" i="5"/>
  <c r="C40" i="12"/>
  <c r="O40" i="12"/>
  <c r="M40" i="12"/>
  <c r="AO40" i="12"/>
  <c r="AO45" i="12"/>
  <c r="C45" i="12"/>
  <c r="M45" i="12"/>
  <c r="O45" i="12"/>
  <c r="Z37" i="8"/>
  <c r="D25" i="8"/>
  <c r="T25" i="8"/>
  <c r="AO43" i="12"/>
  <c r="O43" i="12"/>
  <c r="M43" i="12"/>
  <c r="C43" i="12"/>
  <c r="AS15" i="6"/>
  <c r="Z15" i="6" s="1"/>
  <c r="O32" i="5"/>
  <c r="C32" i="6"/>
  <c r="T34" i="8"/>
  <c r="D34" i="8"/>
  <c r="C22" i="6"/>
  <c r="C25" i="6"/>
  <c r="U25" i="8"/>
  <c r="C27" i="6"/>
  <c r="M28" i="12"/>
  <c r="C28" i="12"/>
  <c r="AO28" i="12"/>
  <c r="O28" i="12"/>
  <c r="C46" i="6"/>
  <c r="O46" i="5"/>
  <c r="X25" i="8"/>
  <c r="W31" i="8"/>
  <c r="U28" i="8"/>
  <c r="M29" i="12"/>
  <c r="C29" i="12"/>
  <c r="AO29" i="12"/>
  <c r="O29" i="12"/>
  <c r="AA29" i="5"/>
  <c r="AB29" i="5"/>
  <c r="AO23" i="12"/>
  <c r="M23" i="12"/>
  <c r="C23" i="12"/>
  <c r="O23" i="12"/>
  <c r="C24" i="6"/>
  <c r="M41" i="12"/>
  <c r="C41" i="12"/>
  <c r="O41" i="12"/>
  <c r="AO41" i="12"/>
  <c r="L30" i="5"/>
  <c r="I30" i="12"/>
  <c r="AM30" i="5"/>
  <c r="Z30" i="5"/>
  <c r="R23" i="8"/>
  <c r="AC30" i="5"/>
  <c r="R20" i="8"/>
  <c r="L20" i="5"/>
  <c r="AC20" i="5"/>
  <c r="Z20" i="5"/>
  <c r="I20" i="12"/>
  <c r="AM20" i="5"/>
  <c r="C21" i="12"/>
  <c r="O21" i="12"/>
  <c r="M21" i="12"/>
  <c r="AO21" i="12"/>
  <c r="AO18" i="12"/>
  <c r="C18" i="12"/>
  <c r="M18" i="12"/>
  <c r="O18" i="12"/>
  <c r="O32" i="12"/>
  <c r="AO32" i="12"/>
  <c r="M32" i="12"/>
  <c r="C32" i="12"/>
  <c r="I39" i="12"/>
  <c r="R32" i="8"/>
  <c r="L39" i="5"/>
  <c r="Z39" i="5"/>
  <c r="AM39" i="5"/>
  <c r="AC39" i="5"/>
  <c r="C29" i="6"/>
  <c r="O29" i="5"/>
  <c r="C23" i="6"/>
  <c r="L42" i="5"/>
  <c r="AM42" i="5"/>
  <c r="R35" i="8"/>
  <c r="I42" i="12"/>
  <c r="Z42" i="5"/>
  <c r="AC42" i="5"/>
  <c r="M24" i="12"/>
  <c r="AO24" i="12"/>
  <c r="C24" i="12"/>
  <c r="O24" i="12"/>
  <c r="W25" i="8"/>
  <c r="O27" i="12"/>
  <c r="AO27" i="12"/>
  <c r="M27" i="12"/>
  <c r="C27" i="12"/>
  <c r="X19" i="8"/>
  <c r="C48" i="12"/>
  <c r="M48" i="12"/>
  <c r="O48" i="12"/>
  <c r="AO48" i="12"/>
  <c r="D28" i="8"/>
  <c r="T28" i="8"/>
  <c r="I17" i="12"/>
  <c r="L17" i="5"/>
  <c r="AM17" i="5"/>
  <c r="AC17" i="5"/>
  <c r="R17" i="8"/>
  <c r="Z17" i="5"/>
  <c r="AC33" i="5"/>
  <c r="Z33" i="5"/>
  <c r="I33" i="12"/>
  <c r="L33" i="5"/>
  <c r="AM33" i="5"/>
  <c r="R26" i="8"/>
  <c r="C31" i="12"/>
  <c r="AO31" i="12"/>
  <c r="O31" i="12"/>
  <c r="M31" i="12"/>
  <c r="V31" i="8"/>
  <c r="Y34" i="8"/>
  <c r="W19" i="8"/>
  <c r="X28" i="8"/>
  <c r="AB42" i="5"/>
  <c r="O38" i="12"/>
  <c r="AO38" i="12"/>
  <c r="M38" i="12"/>
  <c r="C38" i="12"/>
  <c r="AB30" i="5"/>
  <c r="AM36" i="5"/>
  <c r="R29" i="8"/>
  <c r="I36" i="12"/>
  <c r="L36" i="5"/>
  <c r="AC36" i="5"/>
  <c r="Z36" i="5"/>
  <c r="O14" i="11"/>
  <c r="R14" i="8"/>
  <c r="I16" i="12"/>
  <c r="L16" i="5"/>
  <c r="AM16" i="5"/>
  <c r="Z16" i="5"/>
  <c r="AC16" i="5"/>
  <c r="U34" i="8"/>
  <c r="Y19" i="8"/>
  <c r="AT15" i="6"/>
  <c r="AA15" i="6" s="1"/>
  <c r="AB17" i="5"/>
  <c r="C34" i="6"/>
  <c r="O34" i="5"/>
  <c r="O47" i="5"/>
  <c r="C47" i="6"/>
  <c r="C43" i="6"/>
  <c r="O43" i="5"/>
  <c r="M25" i="12"/>
  <c r="AO25" i="12"/>
  <c r="O25" i="12"/>
  <c r="C25" i="12"/>
  <c r="O21" i="5"/>
  <c r="C21" i="6"/>
  <c r="C28" i="6"/>
  <c r="C35" i="6"/>
  <c r="O35" i="5"/>
  <c r="O35" i="12"/>
  <c r="C35" i="12"/>
  <c r="M35" i="12"/>
  <c r="AO35" i="12"/>
  <c r="O37" i="12"/>
  <c r="M37" i="12"/>
  <c r="AO37" i="12"/>
  <c r="C37" i="12"/>
  <c r="C19" i="12"/>
  <c r="O19" i="12"/>
  <c r="M19" i="12"/>
  <c r="AO19" i="12"/>
  <c r="AP15" i="6"/>
  <c r="W15" i="6" s="1"/>
  <c r="AO46" i="12"/>
  <c r="M46" i="12"/>
  <c r="O46" i="12"/>
  <c r="C46" i="12"/>
  <c r="O18" i="5"/>
  <c r="C18" i="6"/>
  <c r="V19" i="8"/>
  <c r="O48" i="5"/>
  <c r="C48" i="6"/>
  <c r="M34" i="12"/>
  <c r="AO34" i="12"/>
  <c r="O34" i="12"/>
  <c r="C34" i="12"/>
  <c r="AB33" i="5"/>
  <c r="V34" i="8"/>
  <c r="M44" i="12"/>
  <c r="O44" i="12"/>
  <c r="C44" i="12"/>
  <c r="AO44" i="12"/>
  <c r="C38" i="6"/>
  <c r="O38" i="5"/>
  <c r="C41" i="6"/>
  <c r="O41" i="5"/>
  <c r="V25" i="8"/>
  <c r="AN15" i="6" l="1"/>
  <c r="U15" i="6" s="1"/>
  <c r="O26" i="12"/>
  <c r="N26" i="12" s="1"/>
  <c r="AO26" i="12"/>
  <c r="AO16" i="12" s="1"/>
  <c r="C26" i="12"/>
  <c r="U31" i="8"/>
  <c r="U29" i="8" s="1"/>
  <c r="O23" i="5"/>
  <c r="E23" i="6" s="1"/>
  <c r="O24" i="5"/>
  <c r="E24" i="6" s="1"/>
  <c r="O22" i="5"/>
  <c r="E22" i="6" s="1"/>
  <c r="AL15" i="6"/>
  <c r="S15" i="6" s="1"/>
  <c r="O50" i="5"/>
  <c r="E50" i="6" s="1"/>
  <c r="X22" i="8"/>
  <c r="X20" i="8" s="1"/>
  <c r="AU15" i="6"/>
  <c r="AB15" i="6" s="1"/>
  <c r="AM15" i="6"/>
  <c r="T15" i="6" s="1"/>
  <c r="V20" i="8"/>
  <c r="AR15" i="6"/>
  <c r="Y15" i="6" s="1"/>
  <c r="I26" i="5"/>
  <c r="O25" i="5"/>
  <c r="D25" i="12" s="1"/>
  <c r="U22" i="8"/>
  <c r="U16" i="8" s="1"/>
  <c r="U14" i="8" s="1"/>
  <c r="AB20" i="5"/>
  <c r="C20" i="8" s="1"/>
  <c r="I52" i="5"/>
  <c r="O51" i="5"/>
  <c r="T22" i="8"/>
  <c r="T20" i="8" s="1"/>
  <c r="W22" i="8"/>
  <c r="W20" i="8" s="1"/>
  <c r="Y22" i="8"/>
  <c r="Y20" i="8" s="1"/>
  <c r="D22" i="8"/>
  <c r="D16" i="8" s="1"/>
  <c r="D51" i="8" s="1"/>
  <c r="V23" i="8"/>
  <c r="C35" i="8"/>
  <c r="W26" i="8"/>
  <c r="Z35" i="8"/>
  <c r="C23" i="8"/>
  <c r="Y23" i="12"/>
  <c r="W23" i="12" s="1"/>
  <c r="N47" i="12"/>
  <c r="Y25" i="12"/>
  <c r="W25" i="12" s="1"/>
  <c r="V17" i="8"/>
  <c r="AB15" i="5"/>
  <c r="M36" i="12"/>
  <c r="X26" i="8"/>
  <c r="AB16" i="5"/>
  <c r="AB14" i="11" s="1"/>
  <c r="Y17" i="8"/>
  <c r="W23" i="8"/>
  <c r="C29" i="8"/>
  <c r="Y24" i="12"/>
  <c r="W24" i="12" s="1"/>
  <c r="X23" i="8"/>
  <c r="D23" i="8"/>
  <c r="D17" i="8"/>
  <c r="X17" i="8"/>
  <c r="N28" i="12"/>
  <c r="C17" i="8"/>
  <c r="Y35" i="12"/>
  <c r="W35" i="12" s="1"/>
  <c r="N25" i="12"/>
  <c r="W17" i="8"/>
  <c r="Y41" i="12"/>
  <c r="X41" i="12" s="1"/>
  <c r="N29" i="12"/>
  <c r="Y32" i="8"/>
  <c r="N27" i="12"/>
  <c r="Y45" i="12"/>
  <c r="X45" i="12" s="1"/>
  <c r="Y32" i="12"/>
  <c r="W32" i="12" s="1"/>
  <c r="Y22" i="12"/>
  <c r="W22" i="12" s="1"/>
  <c r="U26" i="8"/>
  <c r="U23" i="8"/>
  <c r="N48" i="12"/>
  <c r="W29" i="8"/>
  <c r="Y38" i="12"/>
  <c r="W38" i="12" s="1"/>
  <c r="T23" i="8"/>
  <c r="N45" i="12"/>
  <c r="K31" i="10"/>
  <c r="K30" i="10"/>
  <c r="K29" i="10" s="1"/>
  <c r="U32" i="8"/>
  <c r="V29" i="8"/>
  <c r="O33" i="5"/>
  <c r="C33" i="6"/>
  <c r="T26" i="8"/>
  <c r="J20" i="12"/>
  <c r="C20" i="12"/>
  <c r="L20" i="12"/>
  <c r="N41" i="12"/>
  <c r="Y29" i="12"/>
  <c r="T17" i="8"/>
  <c r="L36" i="12"/>
  <c r="J36" i="12"/>
  <c r="C36" i="12"/>
  <c r="O33" i="12"/>
  <c r="N34" i="12"/>
  <c r="Y46" i="12"/>
  <c r="AD29" i="8"/>
  <c r="AE29" i="8"/>
  <c r="AB29" i="8"/>
  <c r="F29" i="8"/>
  <c r="G30" i="8"/>
  <c r="AA29" i="8"/>
  <c r="G29" i="8"/>
  <c r="I30" i="8" s="1"/>
  <c r="F30" i="8"/>
  <c r="AC29" i="8"/>
  <c r="Z29" i="8"/>
  <c r="D41" i="12"/>
  <c r="E41" i="6"/>
  <c r="Y34" i="12"/>
  <c r="AO33" i="12"/>
  <c r="N35" i="12"/>
  <c r="D43" i="12"/>
  <c r="E43" i="6"/>
  <c r="AC11" i="5"/>
  <c r="C33" i="12"/>
  <c r="J33" i="12"/>
  <c r="L33" i="12"/>
  <c r="D26" i="8"/>
  <c r="N32" i="12"/>
  <c r="E32" i="6"/>
  <c r="D32" i="12"/>
  <c r="U17" i="8"/>
  <c r="AC31" i="10"/>
  <c r="AC30" i="10"/>
  <c r="AC29" i="10" s="1"/>
  <c r="D37" i="12"/>
  <c r="E37" i="6"/>
  <c r="M33" i="12"/>
  <c r="Y19" i="12"/>
  <c r="E35" i="6"/>
  <c r="D35" i="12"/>
  <c r="Y48" i="12"/>
  <c r="N24" i="12"/>
  <c r="E29" i="6"/>
  <c r="D29" i="12"/>
  <c r="O17" i="12"/>
  <c r="N18" i="12"/>
  <c r="Y31" i="10"/>
  <c r="Y30" i="10"/>
  <c r="Y29" i="10" s="1"/>
  <c r="Y23" i="8"/>
  <c r="E31" i="6"/>
  <c r="D31" i="12"/>
  <c r="O42" i="5"/>
  <c r="C42" i="6"/>
  <c r="AE31" i="10"/>
  <c r="AE30" i="10"/>
  <c r="AE29" i="10" s="1"/>
  <c r="E44" i="6"/>
  <c r="D44" i="12"/>
  <c r="O20" i="5"/>
  <c r="C20" i="6"/>
  <c r="N19" i="12"/>
  <c r="M42" i="12"/>
  <c r="Y40" i="12"/>
  <c r="AO39" i="12"/>
  <c r="AA31" i="10"/>
  <c r="AA30" i="10"/>
  <c r="AA29" i="10" s="1"/>
  <c r="D24" i="12"/>
  <c r="C16" i="6"/>
  <c r="O16" i="5"/>
  <c r="D34" i="12"/>
  <c r="E34" i="6"/>
  <c r="J16" i="12"/>
  <c r="L16" i="12"/>
  <c r="C16" i="12"/>
  <c r="AO17" i="12"/>
  <c r="Y18" i="12"/>
  <c r="N23" i="12"/>
  <c r="O42" i="12"/>
  <c r="N43" i="12"/>
  <c r="M39" i="12"/>
  <c r="Q31" i="10"/>
  <c r="Q30" i="10"/>
  <c r="Q29" i="10" s="1"/>
  <c r="E45" i="6"/>
  <c r="D45" i="12"/>
  <c r="N22" i="12"/>
  <c r="D38" i="12"/>
  <c r="E38" i="6"/>
  <c r="M16" i="12"/>
  <c r="M17" i="12"/>
  <c r="E48" i="6"/>
  <c r="D48" i="12"/>
  <c r="D47" i="12"/>
  <c r="E47" i="6"/>
  <c r="AC20" i="8"/>
  <c r="AD20" i="8"/>
  <c r="F20" i="8"/>
  <c r="Z20" i="8"/>
  <c r="F21" i="8"/>
  <c r="AE20" i="8"/>
  <c r="G20" i="8"/>
  <c r="I21" i="8" s="1"/>
  <c r="AB20" i="8"/>
  <c r="AA20" i="8"/>
  <c r="G21" i="8"/>
  <c r="Y44" i="12"/>
  <c r="G14" i="8"/>
  <c r="I15" i="8" s="1"/>
  <c r="F15" i="8"/>
  <c r="Q42" i="8"/>
  <c r="H42" i="8" s="1"/>
  <c r="G15" i="8"/>
  <c r="F14" i="8"/>
  <c r="N38" i="12"/>
  <c r="M30" i="12"/>
  <c r="AB16" i="8"/>
  <c r="AB14" i="8" s="1"/>
  <c r="AD16" i="8"/>
  <c r="AD14" i="8" s="1"/>
  <c r="Z16" i="8"/>
  <c r="Z14" i="8" s="1"/>
  <c r="V16" i="8"/>
  <c r="V14" i="8" s="1"/>
  <c r="AC17" i="8"/>
  <c r="G17" i="8"/>
  <c r="I18" i="8" s="1"/>
  <c r="F17" i="8"/>
  <c r="AA16" i="8"/>
  <c r="AA14" i="8" s="1"/>
  <c r="AB17" i="8"/>
  <c r="AA17" i="8"/>
  <c r="AC16" i="8"/>
  <c r="AC14" i="8" s="1"/>
  <c r="Z17" i="8"/>
  <c r="AE16" i="8"/>
  <c r="AE14" i="8" s="1"/>
  <c r="F18" i="8"/>
  <c r="AD17" i="8"/>
  <c r="AE17" i="8"/>
  <c r="G18" i="8"/>
  <c r="Y29" i="8"/>
  <c r="AA23" i="8"/>
  <c r="F24" i="8"/>
  <c r="AC23" i="8"/>
  <c r="F23" i="8"/>
  <c r="Z23" i="8"/>
  <c r="G23" i="8"/>
  <c r="I24" i="8" s="1"/>
  <c r="AE23" i="8"/>
  <c r="G24" i="8"/>
  <c r="AD23" i="8"/>
  <c r="AB23" i="8"/>
  <c r="D46" i="12"/>
  <c r="E46" i="6"/>
  <c r="Y43" i="12"/>
  <c r="AO42" i="12"/>
  <c r="N40" i="12"/>
  <c r="O39" i="12"/>
  <c r="I30" i="10"/>
  <c r="I29" i="10" s="1"/>
  <c r="Y9" i="10" s="1"/>
  <c r="I31" i="10"/>
  <c r="AE9" i="10" s="1"/>
  <c r="N44" i="12"/>
  <c r="Y37" i="12"/>
  <c r="AO36" i="12"/>
  <c r="C14" i="11"/>
  <c r="L14" i="13"/>
  <c r="O15" i="11"/>
  <c r="W14" i="11"/>
  <c r="N31" i="12"/>
  <c r="O30" i="12"/>
  <c r="C39" i="6"/>
  <c r="O39" i="5"/>
  <c r="AO20" i="12"/>
  <c r="Y21" i="12"/>
  <c r="V26" i="8"/>
  <c r="Y47" i="12"/>
  <c r="W30" i="10"/>
  <c r="W29" i="10" s="1"/>
  <c r="W31" i="10"/>
  <c r="X32" i="8"/>
  <c r="D18" i="12"/>
  <c r="E18" i="6"/>
  <c r="D21" i="12"/>
  <c r="E21" i="6"/>
  <c r="Y31" i="12"/>
  <c r="AO30" i="12"/>
  <c r="C42" i="12"/>
  <c r="J42" i="12"/>
  <c r="L42" i="12"/>
  <c r="V32" i="8"/>
  <c r="F32" i="8"/>
  <c r="AD32" i="8"/>
  <c r="AA32" i="8"/>
  <c r="AC32" i="8"/>
  <c r="G32" i="8"/>
  <c r="I33" i="8" s="1"/>
  <c r="AE32" i="8"/>
  <c r="C32" i="8"/>
  <c r="F33" i="8"/>
  <c r="AB32" i="8"/>
  <c r="Z32" i="8"/>
  <c r="G33" i="8"/>
  <c r="M20" i="12"/>
  <c r="Y26" i="8"/>
  <c r="D40" i="12"/>
  <c r="E40" i="6"/>
  <c r="E19" i="6"/>
  <c r="D19" i="12"/>
  <c r="U30" i="10"/>
  <c r="U29" i="10" s="1"/>
  <c r="U31" i="10"/>
  <c r="T29" i="8"/>
  <c r="O36" i="12"/>
  <c r="N37" i="12"/>
  <c r="AG14" i="13"/>
  <c r="U14" i="13" s="1"/>
  <c r="AD4" i="13" s="1"/>
  <c r="AD14" i="13"/>
  <c r="S14" i="13" s="1"/>
  <c r="M18" i="13" s="1"/>
  <c r="O17" i="5"/>
  <c r="C17" i="6"/>
  <c r="W35" i="8"/>
  <c r="G36" i="8"/>
  <c r="G35" i="8"/>
  <c r="I36" i="8" s="1"/>
  <c r="F35" i="8"/>
  <c r="Y35" i="8"/>
  <c r="AB35" i="8"/>
  <c r="X35" i="8"/>
  <c r="F36" i="8"/>
  <c r="AD35" i="8"/>
  <c r="U35" i="8"/>
  <c r="AE35" i="8"/>
  <c r="D35" i="8"/>
  <c r="AA35" i="8"/>
  <c r="T35" i="8"/>
  <c r="AC35" i="8"/>
  <c r="V35" i="8"/>
  <c r="L39" i="12"/>
  <c r="C39" i="12"/>
  <c r="J39" i="12"/>
  <c r="O20" i="12"/>
  <c r="N21" i="12"/>
  <c r="L30" i="12"/>
  <c r="C30" i="12"/>
  <c r="J30" i="12"/>
  <c r="D32" i="8"/>
  <c r="M31" i="10"/>
  <c r="M30" i="10"/>
  <c r="M29" i="10" s="1"/>
  <c r="D29" i="8"/>
  <c r="W32" i="8"/>
  <c r="N46" i="12"/>
  <c r="O36" i="5"/>
  <c r="C36" i="6"/>
  <c r="AC26" i="8"/>
  <c r="AE26" i="8"/>
  <c r="G27" i="8"/>
  <c r="F26" i="8"/>
  <c r="C26" i="8"/>
  <c r="G26" i="8"/>
  <c r="I27" i="8" s="1"/>
  <c r="AD26" i="8"/>
  <c r="AA26" i="8"/>
  <c r="F27" i="8"/>
  <c r="Z26" i="8"/>
  <c r="AB26" i="8"/>
  <c r="C17" i="12"/>
  <c r="L17" i="12"/>
  <c r="J17" i="12"/>
  <c r="Y27" i="12"/>
  <c r="C30" i="6"/>
  <c r="O30" i="5"/>
  <c r="Y28" i="12"/>
  <c r="T32" i="8"/>
  <c r="O31" i="10"/>
  <c r="O30" i="10"/>
  <c r="O29" i="10" s="1"/>
  <c r="S31" i="10"/>
  <c r="S30" i="10"/>
  <c r="S29" i="10" s="1"/>
  <c r="X29" i="8"/>
  <c r="D22" i="12" l="1"/>
  <c r="X16" i="8"/>
  <c r="X14" i="8" s="1"/>
  <c r="O16" i="12"/>
  <c r="N16" i="12" s="1"/>
  <c r="Y26" i="12"/>
  <c r="X26" i="12" s="1"/>
  <c r="D23" i="12"/>
  <c r="E25" i="6"/>
  <c r="D50" i="12"/>
  <c r="W16" i="8"/>
  <c r="W14" i="8" s="1"/>
  <c r="U20" i="8"/>
  <c r="T16" i="8"/>
  <c r="T14" i="8" s="1"/>
  <c r="Y16" i="8"/>
  <c r="Y14" i="8" s="1"/>
  <c r="I27" i="5"/>
  <c r="O26" i="5"/>
  <c r="D20" i="8"/>
  <c r="D50" i="8" s="1" a="1"/>
  <c r="D50" i="8" s="1"/>
  <c r="D45" i="8" s="1"/>
  <c r="X35" i="12"/>
  <c r="I53" i="5"/>
  <c r="O52" i="5"/>
  <c r="D51" i="12"/>
  <c r="E51" i="6"/>
  <c r="X23" i="12"/>
  <c r="X24" i="12"/>
  <c r="X38" i="12"/>
  <c r="N36" i="12"/>
  <c r="W45" i="12"/>
  <c r="V45" i="12" s="1"/>
  <c r="X22" i="12"/>
  <c r="Y42" i="12"/>
  <c r="W42" i="12" s="1"/>
  <c r="X25" i="12"/>
  <c r="W41" i="12"/>
  <c r="V41" i="12" s="1"/>
  <c r="Y17" i="12"/>
  <c r="X17" i="12" s="1"/>
  <c r="X32" i="12"/>
  <c r="K30" i="12"/>
  <c r="K20" i="12"/>
  <c r="K16" i="12"/>
  <c r="K33" i="12"/>
  <c r="K17" i="12"/>
  <c r="Y20" i="12"/>
  <c r="X20" i="12" s="1"/>
  <c r="N20" i="12"/>
  <c r="K39" i="12"/>
  <c r="Y36" i="12"/>
  <c r="X36" i="12" s="1"/>
  <c r="N33" i="12"/>
  <c r="Y30" i="12"/>
  <c r="X30" i="12" s="1"/>
  <c r="K36" i="12"/>
  <c r="D47" i="8"/>
  <c r="D46" i="8"/>
  <c r="D42" i="8" s="1"/>
  <c r="X27" i="12"/>
  <c r="W27" i="12"/>
  <c r="X37" i="12"/>
  <c r="W37" i="12"/>
  <c r="Y39" i="12"/>
  <c r="N17" i="12"/>
  <c r="U32" i="12"/>
  <c r="V32" i="12"/>
  <c r="T32" i="12"/>
  <c r="X31" i="12"/>
  <c r="W31" i="12"/>
  <c r="X21" i="12"/>
  <c r="W21" i="12"/>
  <c r="W18" i="12"/>
  <c r="X18" i="12"/>
  <c r="W40" i="12"/>
  <c r="X40" i="12"/>
  <c r="H35" i="8"/>
  <c r="D42" i="12"/>
  <c r="E42" i="6"/>
  <c r="V24" i="12"/>
  <c r="T24" i="12"/>
  <c r="U24" i="12"/>
  <c r="D30" i="12"/>
  <c r="H23" i="8"/>
  <c r="E30" i="6"/>
  <c r="H32" i="8"/>
  <c r="D39" i="12"/>
  <c r="E39" i="6"/>
  <c r="D36" i="12"/>
  <c r="H29" i="8"/>
  <c r="E36" i="6"/>
  <c r="D17" i="12"/>
  <c r="H17" i="8"/>
  <c r="E17" i="6"/>
  <c r="N39" i="12"/>
  <c r="E16" i="6"/>
  <c r="D16" i="12"/>
  <c r="H14" i="8"/>
  <c r="X48" i="12"/>
  <c r="W48" i="12"/>
  <c r="U25" i="12"/>
  <c r="T25" i="12"/>
  <c r="V25" i="12"/>
  <c r="AE4" i="13"/>
  <c r="O18" i="13" s="1"/>
  <c r="N30" i="12"/>
  <c r="W44" i="12"/>
  <c r="X44" i="12"/>
  <c r="D20" i="12"/>
  <c r="H20" i="8"/>
  <c r="E20" i="6"/>
  <c r="X29" i="12"/>
  <c r="W29" i="12"/>
  <c r="E33" i="6"/>
  <c r="H26" i="8"/>
  <c r="D33" i="12"/>
  <c r="V38" i="12"/>
  <c r="T38" i="12"/>
  <c r="U38" i="12"/>
  <c r="N14" i="11"/>
  <c r="N15" i="11" s="1"/>
  <c r="AB15" i="11"/>
  <c r="AB7" i="11" s="1"/>
  <c r="U23" i="12"/>
  <c r="V23" i="12"/>
  <c r="T23" i="12"/>
  <c r="X43" i="12"/>
  <c r="W43" i="12"/>
  <c r="D14" i="8"/>
  <c r="X19" i="12"/>
  <c r="W19" i="12"/>
  <c r="Y33" i="12"/>
  <c r="V35" i="12"/>
  <c r="U35" i="12"/>
  <c r="T35" i="12"/>
  <c r="W34" i="12"/>
  <c r="X34" i="12"/>
  <c r="O16" i="11"/>
  <c r="AA7" i="11"/>
  <c r="W28" i="12"/>
  <c r="X28" i="12"/>
  <c r="K42" i="12"/>
  <c r="X47" i="12"/>
  <c r="W47" i="12"/>
  <c r="D14" i="13"/>
  <c r="P14" i="13"/>
  <c r="L19" i="13"/>
  <c r="V14" i="13"/>
  <c r="N42" i="12"/>
  <c r="U22" i="12"/>
  <c r="V22" i="12"/>
  <c r="T22" i="12"/>
  <c r="W46" i="12"/>
  <c r="X46" i="12"/>
  <c r="Y16" i="12" l="1"/>
  <c r="W26" i="12"/>
  <c r="U26" i="12" s="1"/>
  <c r="T51" i="8"/>
  <c r="T47" i="8" s="1"/>
  <c r="D26" i="12"/>
  <c r="E26" i="6"/>
  <c r="I28" i="5"/>
  <c r="O27" i="5"/>
  <c r="I54" i="5"/>
  <c r="O53" i="5"/>
  <c r="E52" i="6"/>
  <c r="D52" i="12"/>
  <c r="U45" i="12"/>
  <c r="T45" i="12"/>
  <c r="T26" i="12"/>
  <c r="W17" i="12"/>
  <c r="U17" i="12" s="1"/>
  <c r="X42" i="12"/>
  <c r="T41" i="12"/>
  <c r="U41" i="12"/>
  <c r="W30" i="12"/>
  <c r="U30" i="12" s="1"/>
  <c r="W20" i="12"/>
  <c r="V20" i="12" s="1"/>
  <c r="W36" i="12"/>
  <c r="U36" i="12" s="1"/>
  <c r="Z3" i="11"/>
  <c r="AA3" i="11" s="1"/>
  <c r="W33" i="12"/>
  <c r="X33" i="12"/>
  <c r="V27" i="12"/>
  <c r="U27" i="12"/>
  <c r="T27" i="12"/>
  <c r="T19" i="12"/>
  <c r="V19" i="12"/>
  <c r="U19" i="12"/>
  <c r="T44" i="12"/>
  <c r="V44" i="12"/>
  <c r="U44" i="12"/>
  <c r="U47" i="12"/>
  <c r="T47" i="12"/>
  <c r="V47" i="12"/>
  <c r="T28" i="12"/>
  <c r="V28" i="12"/>
  <c r="U28" i="12"/>
  <c r="N18" i="13"/>
  <c r="E32" i="14" s="1"/>
  <c r="F32" i="14"/>
  <c r="X16" i="12"/>
  <c r="W16" i="12"/>
  <c r="T40" i="12"/>
  <c r="V40" i="12"/>
  <c r="U40" i="12"/>
  <c r="U18" i="12"/>
  <c r="V18" i="12"/>
  <c r="T18" i="12"/>
  <c r="W39" i="12"/>
  <c r="X39" i="12"/>
  <c r="V42" i="12"/>
  <c r="U42" i="12"/>
  <c r="T42" i="12"/>
  <c r="V43" i="12"/>
  <c r="U43" i="12"/>
  <c r="T43" i="12"/>
  <c r="I10" i="14"/>
  <c r="J10" i="14" s="1"/>
  <c r="K10" i="14" s="1"/>
  <c r="L10" i="14" s="1"/>
  <c r="I29" i="14"/>
  <c r="J29" i="14" s="1"/>
  <c r="K29" i="14" s="1"/>
  <c r="L29" i="14" s="1"/>
  <c r="I11" i="14"/>
  <c r="J11" i="14" s="1"/>
  <c r="K11" i="14" s="1"/>
  <c r="L11" i="14" s="1"/>
  <c r="I8" i="14"/>
  <c r="J8" i="14" s="1"/>
  <c r="K8" i="14" s="1"/>
  <c r="L8" i="14" s="1"/>
  <c r="I21" i="14"/>
  <c r="J21" i="14" s="1"/>
  <c r="K21" i="14" s="1"/>
  <c r="L21" i="14" s="1"/>
  <c r="I40" i="14"/>
  <c r="J40" i="14" s="1"/>
  <c r="K40" i="14" s="1"/>
  <c r="L40" i="14" s="1"/>
  <c r="I12" i="14"/>
  <c r="J12" i="14" s="1"/>
  <c r="K12" i="14" s="1"/>
  <c r="L12" i="14" s="1"/>
  <c r="I41" i="14"/>
  <c r="J41" i="14" s="1"/>
  <c r="K41" i="14" s="1"/>
  <c r="L41" i="14" s="1"/>
  <c r="I18" i="14"/>
  <c r="J18" i="14" s="1"/>
  <c r="K18" i="14" s="1"/>
  <c r="L18" i="14" s="1"/>
  <c r="I15" i="14"/>
  <c r="J15" i="14" s="1"/>
  <c r="K15" i="14" s="1"/>
  <c r="L15" i="14" s="1"/>
  <c r="I35" i="14"/>
  <c r="J35" i="14" s="1"/>
  <c r="K35" i="14" s="1"/>
  <c r="L35" i="14" s="1"/>
  <c r="I19" i="14"/>
  <c r="J19" i="14" s="1"/>
  <c r="K19" i="14" s="1"/>
  <c r="L19" i="14" s="1"/>
  <c r="I13" i="14"/>
  <c r="J13" i="14" s="1"/>
  <c r="K13" i="14" s="1"/>
  <c r="L13" i="14" s="1"/>
  <c r="I23" i="14"/>
  <c r="J23" i="14" s="1"/>
  <c r="K23" i="14" s="1"/>
  <c r="L23" i="14" s="1"/>
  <c r="I46" i="14"/>
  <c r="J46" i="14" s="1"/>
  <c r="K46" i="14" s="1"/>
  <c r="L46" i="14" s="1"/>
  <c r="I20" i="14"/>
  <c r="J20" i="14" s="1"/>
  <c r="K20" i="14" s="1"/>
  <c r="L20" i="14" s="1"/>
  <c r="I6" i="14"/>
  <c r="J6" i="14" s="1"/>
  <c r="K6" i="14" s="1"/>
  <c r="L6" i="14" s="1"/>
  <c r="I28" i="14"/>
  <c r="J28" i="14" s="1"/>
  <c r="K28" i="14" s="1"/>
  <c r="L28" i="14" s="1"/>
  <c r="I17" i="14"/>
  <c r="J17" i="14" s="1"/>
  <c r="K17" i="14" s="1"/>
  <c r="L17" i="14" s="1"/>
  <c r="I24" i="14"/>
  <c r="J24" i="14" s="1"/>
  <c r="K24" i="14" s="1"/>
  <c r="L24" i="14" s="1"/>
  <c r="I32" i="14"/>
  <c r="J32" i="14" s="1"/>
  <c r="K32" i="14" s="1"/>
  <c r="L32" i="14" s="1"/>
  <c r="I26" i="14"/>
  <c r="J26" i="14" s="1"/>
  <c r="K26" i="14" s="1"/>
  <c r="L26" i="14" s="1"/>
  <c r="I22" i="14"/>
  <c r="J22" i="14" s="1"/>
  <c r="K22" i="14" s="1"/>
  <c r="L22" i="14" s="1"/>
  <c r="I45" i="14"/>
  <c r="J45" i="14" s="1"/>
  <c r="K45" i="14" s="1"/>
  <c r="L45" i="14" s="1"/>
  <c r="I14" i="14"/>
  <c r="J14" i="14" s="1"/>
  <c r="K14" i="14" s="1"/>
  <c r="L14" i="14" s="1"/>
  <c r="I30" i="14"/>
  <c r="J30" i="14" s="1"/>
  <c r="K30" i="14" s="1"/>
  <c r="L30" i="14" s="1"/>
  <c r="I27" i="14"/>
  <c r="J27" i="14" s="1"/>
  <c r="K27" i="14" s="1"/>
  <c r="L27" i="14" s="1"/>
  <c r="I34" i="14"/>
  <c r="J34" i="14" s="1"/>
  <c r="K34" i="14" s="1"/>
  <c r="L34" i="14" s="1"/>
  <c r="I44" i="14"/>
  <c r="J44" i="14" s="1"/>
  <c r="K44" i="14" s="1"/>
  <c r="L44" i="14" s="1"/>
  <c r="I31" i="14"/>
  <c r="J31" i="14" s="1"/>
  <c r="K31" i="14" s="1"/>
  <c r="L31" i="14" s="1"/>
  <c r="I7" i="14"/>
  <c r="J7" i="14" s="1"/>
  <c r="K7" i="14" s="1"/>
  <c r="L7" i="14" s="1"/>
  <c r="I38" i="14"/>
  <c r="J38" i="14" s="1"/>
  <c r="K38" i="14" s="1"/>
  <c r="L38" i="14" s="1"/>
  <c r="I33" i="14"/>
  <c r="J33" i="14" s="1"/>
  <c r="K33" i="14" s="1"/>
  <c r="L33" i="14" s="1"/>
  <c r="I42" i="14"/>
  <c r="J42" i="14" s="1"/>
  <c r="K42" i="14" s="1"/>
  <c r="L42" i="14" s="1"/>
  <c r="I36" i="14"/>
  <c r="J36" i="14" s="1"/>
  <c r="K36" i="14" s="1"/>
  <c r="L36" i="14" s="1"/>
  <c r="I39" i="14"/>
  <c r="J39" i="14" s="1"/>
  <c r="K39" i="14" s="1"/>
  <c r="L39" i="14" s="1"/>
  <c r="I9" i="14"/>
  <c r="J9" i="14" s="1"/>
  <c r="K9" i="14" s="1"/>
  <c r="L9" i="14" s="1"/>
  <c r="I43" i="14"/>
  <c r="J43" i="14" s="1"/>
  <c r="K43" i="14" s="1"/>
  <c r="L43" i="14" s="1"/>
  <c r="I25" i="14"/>
  <c r="J25" i="14" s="1"/>
  <c r="K25" i="14" s="1"/>
  <c r="L25" i="14" s="1"/>
  <c r="I16" i="14"/>
  <c r="J16" i="14" s="1"/>
  <c r="K16" i="14" s="1"/>
  <c r="L16" i="14" s="1"/>
  <c r="I37" i="14"/>
  <c r="J37" i="14" s="1"/>
  <c r="K37" i="14" s="1"/>
  <c r="L37" i="14" s="1"/>
  <c r="T34" i="12"/>
  <c r="V34" i="12"/>
  <c r="U34" i="12"/>
  <c r="V29" i="12"/>
  <c r="T29" i="12"/>
  <c r="U29" i="12"/>
  <c r="U48" i="12"/>
  <c r="V48" i="12"/>
  <c r="T48" i="12"/>
  <c r="U21" i="12"/>
  <c r="T21" i="12"/>
  <c r="V21" i="12"/>
  <c r="U37" i="12"/>
  <c r="T37" i="12"/>
  <c r="V37" i="12"/>
  <c r="T46" i="12"/>
  <c r="U46" i="12"/>
  <c r="V46" i="12"/>
  <c r="L15" i="13"/>
  <c r="D33" i="14"/>
  <c r="O20" i="13"/>
  <c r="N15" i="13"/>
  <c r="M15" i="13"/>
  <c r="P15" i="13"/>
  <c r="F34" i="14" s="1"/>
  <c r="E34" i="14"/>
  <c r="O15" i="13"/>
  <c r="U31" i="12"/>
  <c r="T31" i="12"/>
  <c r="V31" i="12"/>
  <c r="N16" i="11"/>
  <c r="L18" i="13"/>
  <c r="V30" i="12"/>
  <c r="V26" i="12" l="1"/>
  <c r="U51" i="8"/>
  <c r="U46" i="8" s="1"/>
  <c r="U42" i="8" s="1"/>
  <c r="T46" i="8"/>
  <c r="T42" i="8" s="1"/>
  <c r="T50" i="8" s="1" a="1"/>
  <c r="T50" i="8" s="1"/>
  <c r="T45" i="8" s="1"/>
  <c r="E27" i="6"/>
  <c r="D27" i="12"/>
  <c r="I29" i="5"/>
  <c r="O28" i="5"/>
  <c r="AA56" i="5"/>
  <c r="AA57" i="5"/>
  <c r="AA54" i="5"/>
  <c r="AA55" i="5"/>
  <c r="I55" i="5"/>
  <c r="O54" i="5"/>
  <c r="AA52" i="5"/>
  <c r="AA53" i="5"/>
  <c r="D53" i="12"/>
  <c r="E53" i="6"/>
  <c r="T17" i="12"/>
  <c r="V17" i="12"/>
  <c r="AA50" i="5"/>
  <c r="AA51" i="5"/>
  <c r="T30" i="12"/>
  <c r="T36" i="12"/>
  <c r="V36" i="12"/>
  <c r="T20" i="12"/>
  <c r="U20" i="12"/>
  <c r="AD14" i="11"/>
  <c r="AA35" i="5"/>
  <c r="AA45" i="5"/>
  <c r="AA40" i="5"/>
  <c r="AA37" i="5"/>
  <c r="AA44" i="5"/>
  <c r="AA25" i="5"/>
  <c r="AA27" i="5"/>
  <c r="AA22" i="5"/>
  <c r="AA43" i="5"/>
  <c r="AA18" i="5"/>
  <c r="AA28" i="5"/>
  <c r="AA24" i="5"/>
  <c r="AA46" i="5"/>
  <c r="AA34" i="5"/>
  <c r="AA21" i="5"/>
  <c r="AA47" i="5"/>
  <c r="AA41" i="5"/>
  <c r="AA48" i="5"/>
  <c r="AA31" i="5"/>
  <c r="AA23" i="5"/>
  <c r="AA26" i="5"/>
  <c r="AA38" i="5"/>
  <c r="AA19" i="5"/>
  <c r="AA32" i="5"/>
  <c r="AD12" i="11"/>
  <c r="U39" i="12"/>
  <c r="T39" i="12"/>
  <c r="V39" i="12"/>
  <c r="AD18" i="13"/>
  <c r="AC18" i="13"/>
  <c r="D32" i="14"/>
  <c r="T16" i="12"/>
  <c r="V16" i="12"/>
  <c r="U16" i="12"/>
  <c r="U33" i="12"/>
  <c r="T33" i="12"/>
  <c r="V33" i="12"/>
  <c r="U47" i="8" l="1"/>
  <c r="V51" i="8"/>
  <c r="W51" i="8" s="1"/>
  <c r="W46" i="8" s="1"/>
  <c r="W42" i="8" s="1"/>
  <c r="U50" i="8" a="1"/>
  <c r="U50" i="8" s="1"/>
  <c r="U45" i="8" s="1"/>
  <c r="E28" i="6"/>
  <c r="D28" i="12"/>
  <c r="I56" i="5"/>
  <c r="O55" i="5"/>
  <c r="D54" i="12"/>
  <c r="E54" i="6"/>
  <c r="AA49" i="5"/>
  <c r="B38" i="8" s="1"/>
  <c r="AA36" i="5"/>
  <c r="B29" i="8" s="1"/>
  <c r="AE12" i="11"/>
  <c r="M12" i="11" s="1"/>
  <c r="L12" i="11" s="1"/>
  <c r="AA20" i="5"/>
  <c r="B20" i="8" s="1"/>
  <c r="AA39" i="5"/>
  <c r="B32" i="8" s="1"/>
  <c r="AA33" i="5"/>
  <c r="B26" i="8" s="1"/>
  <c r="AA42" i="5"/>
  <c r="B35" i="8" s="1"/>
  <c r="AA16" i="5"/>
  <c r="AA15" i="5"/>
  <c r="AA17" i="5"/>
  <c r="B17" i="8" s="1"/>
  <c r="AA30" i="5"/>
  <c r="B23" i="8" s="1"/>
  <c r="X51" i="8" l="1"/>
  <c r="Y51" i="8" s="1"/>
  <c r="W47" i="8"/>
  <c r="V47" i="8"/>
  <c r="V46" i="8"/>
  <c r="V42" i="8" s="1"/>
  <c r="V50" i="8" a="1"/>
  <c r="V50" i="8" s="1"/>
  <c r="V45" i="8" s="1"/>
  <c r="I57" i="5"/>
  <c r="O57" i="5" s="1"/>
  <c r="O56" i="5"/>
  <c r="D55" i="12"/>
  <c r="E55" i="6"/>
  <c r="AA14" i="11"/>
  <c r="AC14" i="13"/>
  <c r="R14" i="13" s="1"/>
  <c r="M17" i="13" s="1"/>
  <c r="AF14" i="13"/>
  <c r="T14" i="13" s="1"/>
  <c r="AD3" i="13" s="1"/>
  <c r="AD2" i="13" s="1"/>
  <c r="T49" i="8" a="1"/>
  <c r="T49" i="8" s="1"/>
  <c r="D49" i="8" a="1"/>
  <c r="D49" i="8" s="1"/>
  <c r="X47" i="8" l="1"/>
  <c r="X46" i="8"/>
  <c r="X42" i="8" s="1"/>
  <c r="W50" i="8" a="1"/>
  <c r="W50" i="8" s="1"/>
  <c r="W45" i="8" s="1"/>
  <c r="E57" i="6"/>
  <c r="D57" i="12"/>
  <c r="D56" i="12"/>
  <c r="E56" i="6"/>
  <c r="Z14" i="11"/>
  <c r="Z15" i="11" s="1"/>
  <c r="AE14" i="11" s="1"/>
  <c r="M14" i="11" s="1"/>
  <c r="AA15" i="11"/>
  <c r="M16" i="13"/>
  <c r="AE3" i="13"/>
  <c r="D48" i="8"/>
  <c r="D43" i="8" s="1"/>
  <c r="D44" i="8"/>
  <c r="T44" i="8"/>
  <c r="U49" i="8" a="1"/>
  <c r="U49" i="8" s="1"/>
  <c r="T48" i="8"/>
  <c r="T43" i="8" s="1"/>
  <c r="Y47" i="8"/>
  <c r="Y46" i="8"/>
  <c r="Y42" i="8" s="1"/>
  <c r="Z51" i="8"/>
  <c r="X50" i="8" l="1" a="1"/>
  <c r="X50" i="8" s="1"/>
  <c r="X45" i="8" s="1"/>
  <c r="V49" i="8" a="1"/>
  <c r="V49" i="8" s="1"/>
  <c r="U44" i="8"/>
  <c r="U48" i="8"/>
  <c r="U43" i="8" s="1"/>
  <c r="O17" i="13"/>
  <c r="AE2" i="13"/>
  <c r="M15" i="11"/>
  <c r="L14" i="11"/>
  <c r="L15" i="11" s="1"/>
  <c r="AA51" i="8"/>
  <c r="Z46" i="8"/>
  <c r="Z42" i="8" s="1"/>
  <c r="Z47" i="8"/>
  <c r="Y50" i="8" l="1" a="1"/>
  <c r="Y50" i="8" s="1"/>
  <c r="Y45" i="8" s="1"/>
  <c r="W49" i="8" a="1"/>
  <c r="W49" i="8" s="1"/>
  <c r="V44" i="8"/>
  <c r="V48" i="8"/>
  <c r="V43" i="8" s="1"/>
  <c r="L16" i="13"/>
  <c r="D30" i="14" s="1"/>
  <c r="L16" i="11"/>
  <c r="L10" i="11"/>
  <c r="M10" i="13" s="1"/>
  <c r="F31" i="14"/>
  <c r="N17" i="13"/>
  <c r="E31" i="14" s="1"/>
  <c r="O16" i="13"/>
  <c r="M16" i="11"/>
  <c r="L17" i="13"/>
  <c r="M10" i="11"/>
  <c r="N10" i="13" s="1"/>
  <c r="AA46" i="8"/>
  <c r="AA42" i="8" s="1"/>
  <c r="AA47" i="8"/>
  <c r="J10" i="13" s="1"/>
  <c r="G10" i="13" s="1"/>
  <c r="AB51" i="8"/>
  <c r="Z50" i="8" l="1" a="1"/>
  <c r="Z50" i="8" s="1"/>
  <c r="Z45" i="8" s="1"/>
  <c r="G9" i="11"/>
  <c r="AC17" i="13"/>
  <c r="D31" i="14"/>
  <c r="AD17" i="13"/>
  <c r="N16" i="13"/>
  <c r="E30" i="14" s="1"/>
  <c r="F30" i="14"/>
  <c r="W48" i="8"/>
  <c r="W43" i="8" s="1"/>
  <c r="X49" i="8" a="1"/>
  <c r="X49" i="8" s="1"/>
  <c r="W44" i="8"/>
  <c r="AC51" i="8"/>
  <c r="AB47" i="8"/>
  <c r="AB46" i="8"/>
  <c r="AB42" i="8" s="1"/>
  <c r="AA50" i="8" l="1" a="1"/>
  <c r="AA50" i="8" s="1"/>
  <c r="AA45" i="8" s="1"/>
  <c r="X48" i="8"/>
  <c r="X43" i="8" s="1"/>
  <c r="X44" i="8"/>
  <c r="Y49" i="8" a="1"/>
  <c r="Y49" i="8" s="1"/>
  <c r="AC46" i="8"/>
  <c r="AC42" i="8" s="1"/>
  <c r="AC47" i="8"/>
  <c r="AD51" i="8"/>
  <c r="AB50" i="8" l="1" a="1"/>
  <c r="AB50" i="8" s="1"/>
  <c r="AB45" i="8" s="1"/>
  <c r="Y44" i="8"/>
  <c r="Z49" i="8" a="1"/>
  <c r="Z49" i="8" s="1"/>
  <c r="Y48" i="8"/>
  <c r="Y43" i="8" s="1"/>
  <c r="AD47" i="8"/>
  <c r="AE51" i="8"/>
  <c r="AD46" i="8"/>
  <c r="AD42" i="8" s="1"/>
  <c r="AC50" i="8" l="1" a="1"/>
  <c r="AC50" i="8" s="1"/>
  <c r="AC45" i="8" s="1"/>
  <c r="AA49" i="8" a="1"/>
  <c r="AA49" i="8" s="1"/>
  <c r="Z48" i="8"/>
  <c r="Z43" i="8" s="1"/>
  <c r="Z44" i="8"/>
  <c r="AF51" i="8"/>
  <c r="AE46" i="8"/>
  <c r="AE42" i="8" s="1"/>
  <c r="J10" i="8"/>
  <c r="B9" i="9"/>
  <c r="AE47" i="8"/>
  <c r="AD50" i="8" l="1" a="1"/>
  <c r="AD50" i="8" s="1"/>
  <c r="AD45" i="8" s="1"/>
  <c r="AA48" i="8"/>
  <c r="AA43" i="8" s="1"/>
  <c r="AA44" i="8"/>
  <c r="AB49" i="8" a="1"/>
  <c r="AB49" i="8" s="1"/>
  <c r="AE50" i="8" l="1" a="1"/>
  <c r="AE50" i="8" s="1"/>
  <c r="AE45" i="8" s="1"/>
  <c r="AB48" i="8"/>
  <c r="AB43" i="8" s="1"/>
  <c r="AB44" i="8"/>
  <c r="AC49" i="8" a="1"/>
  <c r="AC49" i="8" s="1"/>
  <c r="AC44" i="8" l="1"/>
  <c r="AD49" i="8" a="1"/>
  <c r="AD49" i="8" s="1"/>
  <c r="AC48" i="8"/>
  <c r="AC43" i="8" s="1"/>
  <c r="AE49" i="8" l="1" a="1"/>
  <c r="AE49" i="8" s="1"/>
  <c r="AD48" i="8"/>
  <c r="AD43" i="8" s="1"/>
  <c r="AD44" i="8"/>
  <c r="AF49" i="8" l="1"/>
  <c r="AE48" i="8"/>
  <c r="AE44" i="8"/>
  <c r="AF48" i="8" l="1"/>
  <c r="AF50" i="8" s="1"/>
  <c r="AE43" i="8"/>
</calcChain>
</file>

<file path=xl/comments1.xml><?xml version="1.0" encoding="utf-8"?>
<comments xmlns="http://schemas.openxmlformats.org/spreadsheetml/2006/main">
  <authors>
    <author/>
  </authors>
  <commentList>
    <comment ref="F41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<sst xmlns="http://schemas.openxmlformats.org/spreadsheetml/2006/main" count="1343" uniqueCount="517">
  <si>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</si>
  <si>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</si>
  <si>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</si>
  <si>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</si>
  <si>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</si>
  <si>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</si>
  <si>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</si>
  <si>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</si>
  <si>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</si>
  <si>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</si>
  <si>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</si>
  <si>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</si>
  <si>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</si>
  <si>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</si>
  <si>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</si>
  <si>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</si>
  <si>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</si>
  <si>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</si>
  <si>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</si>
  <si>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</si>
  <si>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</si>
  <si>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</si>
  <si>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</si>
  <si>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</si>
  <si>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</si>
  <si>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</si>
  <si>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</si>
  <si>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</si>
  <si>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</si>
  <si>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</si>
  <si>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</si>
  <si>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</si>
  <si>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</si>
  <si>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</si>
  <si>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</si>
  <si>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</si>
  <si>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</si>
  <si>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</si>
  <si>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</si>
  <si>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</si>
  <si>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</si>
  <si>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</si>
  <si>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</si>
  <si>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</si>
  <si>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</si>
  <si>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</si>
  <si>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</si>
  <si>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</si>
  <si>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</si>
  <si>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</si>
  <si>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</si>
  <si>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</si>
  <si>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</si>
  <si>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</si>
  <si>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</si>
  <si>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</si>
  <si>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</si>
  <si>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</si>
  <si>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</si>
  <si>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</si>
  <si>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</si>
  <si>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</si>
  <si>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</si>
  <si>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</si>
  <si>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</si>
  <si>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</si>
  <si>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</si>
  <si>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</si>
  <si>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</si>
  <si>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</si>
  <si>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</si>
  <si>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</si>
  <si>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</si>
  <si>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</si>
  <si>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</si>
  <si>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</si>
  <si>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</si>
  <si>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</si>
  <si>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</si>
  <si>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</si>
  <si>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</si>
  <si>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</si>
  <si>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</si>
  <si>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</si>
  <si>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</si>
  <si>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</si>
  <si>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</si>
  <si>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</si>
  <si>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</si>
  <si>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</si>
  <si>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</si>
  <si>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</si>
  <si>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</si>
  <si>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</si>
  <si>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</si>
  <si>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</si>
  <si>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</si>
  <si>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</si>
  <si>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</si>
  <si>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</si>
  <si>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</si>
  <si>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</si>
  <si>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</si>
  <si>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</si>
  <si>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</si>
  <si>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</si>
  <si>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</si>
  <si>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</si>
  <si>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</si>
  <si>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</si>
  <si>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</si>
  <si>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</si>
  <si>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</si>
  <si>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</si>
  <si>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</si>
  <si>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</si>
  <si>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</si>
  <si>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</si>
  <si>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</si>
  <si>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</si>
  <si>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</si>
  <si>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</si>
  <si>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</si>
  <si>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</si>
  <si>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</si>
  <si>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</si>
  <si>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</si>
  <si>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</si>
  <si>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</si>
  <si>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</si>
  <si>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</si>
  <si>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</si>
  <si>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</si>
  <si>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</si>
  <si>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</si>
  <si>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</si>
  <si>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</si>
  <si>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</si>
  <si>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</si>
  <si>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</si>
  <si>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</si>
  <si>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</si>
  <si>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</si>
  <si>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</si>
  <si>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</si>
  <si>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</si>
  <si>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</si>
  <si>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</si>
  <si>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</si>
  <si>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</si>
  <si>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</si>
  <si>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</si>
  <si>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</si>
  <si>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</si>
  <si>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</si>
  <si>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</si>
  <si>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</si>
  <si>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</si>
  <si>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</si>
  <si>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</si>
  <si>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</si>
  <si>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</si>
  <si>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</si>
  <si>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</si>
  <si>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</si>
  <si>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</si>
  <si>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</si>
  <si>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</si>
  <si>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</si>
  <si>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</si>
  <si>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</si>
  <si>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</si>
  <si>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</si>
  <si>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</si>
  <si>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</si>
  <si>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</si>
  <si>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</si>
  <si>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</si>
  <si>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</si>
  <si>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</si>
  <si>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</si>
  <si>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</si>
  <si>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</si>
  <si>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</si>
  <si>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</si>
  <si>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</si>
  <si>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</si>
  <si>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</si>
  <si>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</si>
  <si>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</si>
  <si>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</si>
  <si>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</si>
  <si>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</si>
  <si>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</si>
  <si>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</si>
  <si>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</si>
  <si>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</si>
  <si>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</si>
  <si>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</si>
  <si>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</si>
  <si>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</si>
  <si>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</si>
  <si>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</si>
  <si>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</si>
  <si>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</si>
  <si>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</si>
  <si>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</si>
  <si>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</si>
  <si>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</si>
  <si>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</si>
  <si>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</si>
  <si>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</si>
  <si>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</si>
  <si>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</si>
  <si>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</si>
  <si>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</si>
  <si>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</si>
  <si>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</si>
  <si>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</si>
  <si>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</si>
  <si>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</si>
  <si>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</si>
  <si>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</si>
  <si>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</si>
  <si>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</si>
  <si>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</si>
  <si>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</si>
  <si>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</si>
  <si>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</si>
  <si>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</si>
  <si>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</si>
  <si>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</si>
  <si>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</si>
  <si>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</si>
  <si>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</si>
  <si>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</si>
  <si>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</si>
  <si>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</si>
  <si>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</si>
  <si>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</si>
  <si>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</si>
  <si>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</si>
  <si>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</si>
  <si>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</si>
  <si>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</si>
  <si>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</si>
  <si>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</si>
  <si>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</si>
  <si>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</si>
  <si>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</si>
  <si>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</si>
  <si>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</si>
  <si>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</si>
  <si>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</si>
  <si>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</si>
  <si>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</si>
  <si>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</si>
  <si>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</si>
  <si>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</si>
  <si>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</si>
  <si>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</si>
  <si>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</si>
  <si>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</si>
  <si>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</si>
  <si>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</si>
  <si>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</si>
  <si>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</si>
  <si>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</si>
  <si>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</si>
  <si>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</si>
  <si>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</si>
  <si>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</si>
  <si>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</si>
  <si>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</si>
  <si>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</si>
  <si>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</si>
  <si>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</si>
  <si>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</si>
  <si>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</si>
  <si>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</si>
  <si>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</si>
  <si>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</si>
  <si>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</si>
  <si>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</si>
  <si>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</si>
  <si>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</si>
  <si>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</si>
  <si>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</si>
  <si>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</si>
  <si>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</si>
  <si>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</si>
  <si>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</si>
  <si>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</si>
  <si>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</si>
  <si>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</si>
  <si>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</si>
  <si>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</si>
  <si>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</si>
  <si>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</si>
  <si>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</si>
  <si>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</si>
  <si>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</si>
  <si>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</si>
  <si>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</si>
  <si>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</si>
  <si>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</si>
  <si>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</si>
  <si>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</si>
  <si>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</si>
  <si>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</si>
  <si>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</si>
  <si>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</si>
  <si>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</si>
  <si>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</si>
  <si>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</si>
  <si>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</si>
  <si>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</si>
  <si>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</si>
  <si>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</si>
  <si>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</si>
  <si>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</si>
  <si>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</si>
  <si>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</si>
  <si>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</si>
  <si>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</si>
  <si>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</si>
  <si>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</si>
  <si>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</si>
  <si>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</si>
  <si>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</si>
  <si>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</si>
  <si>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</si>
  <si>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</si>
  <si>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</si>
  <si>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</si>
  <si>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</si>
  <si>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</si>
  <si>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</si>
  <si>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</si>
  <si>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</si>
  <si>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</si>
  <si>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</si>
  <si>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</si>
  <si>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</si>
  <si>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</si>
  <si>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</si>
  <si>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</si>
  <si>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</si>
  <si>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</si>
  <si>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</si>
  <si>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</si>
  <si>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</si>
  <si>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</si>
  <si>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</si>
  <si>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</si>
  <si>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</si>
  <si>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</si>
  <si>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</si>
  <si>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</si>
  <si>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</si>
  <si>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</si>
  <si>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</si>
  <si>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</si>
  <si>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</si>
  <si>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</si>
  <si>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</si>
  <si>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</si>
  <si>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</si>
  <si>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</si>
  <si>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</si>
  <si>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</si>
  <si>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</si>
  <si>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</si>
  <si>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</si>
  <si>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</si>
  <si>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</si>
  <si>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</si>
  <si>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</si>
  <si>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</si>
  <si>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</si>
  <si>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</si>
  <si>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</si>
  <si>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</si>
  <si>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</si>
  <si>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</si>
  <si>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</si>
  <si>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</si>
  <si>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</si>
  <si>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</si>
  <si>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</si>
  <si>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</si>
  <si>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</si>
  <si>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</si>
  <si>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</si>
  <si>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</si>
  <si>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</si>
  <si>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</si>
  <si>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</si>
  <si>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</si>
  <si>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</si>
  <si>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</si>
  <si>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</si>
  <si>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</si>
  <si>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</si>
  <si>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</si>
  <si>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</si>
  <si>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</si>
  <si>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</si>
  <si>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Automática, conforme os agrupadores Nível 2 do Orçamento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</si>
  <si>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</si>
  <si>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</si>
  <si>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</si>
  <si>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</si>
  <si>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</si>
  <si>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</si>
  <si>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</si>
  <si>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</si>
  <si>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</si>
  <si>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</si>
  <si>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</si>
  <si>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</si>
  <si>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</si>
  <si>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</si>
  <si>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</si>
  <si>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</si>
  <si>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</si>
  <si>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</si>
  <si>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</si>
  <si>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</si>
  <si>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</si>
  <si>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</si>
  <si>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</si>
  <si>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</si>
  <si>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</si>
  <si>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</si>
  <si>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</si>
  <si>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</si>
  <si>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</si>
  <si>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v3.0.6</t>
  </si>
  <si>
    <t>Arredondamento das frentes:</t>
  </si>
  <si>
    <t>Tradicional</t>
  </si>
  <si>
    <t>V3.0.6</t>
  </si>
  <si>
    <t>Nº do TransfereGOV (000000):</t>
  </si>
  <si>
    <t>Nº TransfereGOV</t>
  </si>
  <si>
    <t>Adicionado modo de arredondamento para compatibilidade com o TransfereGOV, altera na aba DADOS</t>
  </si>
  <si>
    <t>A planilha passará a ser disponibilizada com o formato .xlsm. Deve ser usado arquivo referência 1.9 ou superior, também no formato .xlsm</t>
  </si>
  <si>
    <t>Nº TRANSFEREGOV</t>
  </si>
  <si>
    <t>Nº TGOV</t>
  </si>
  <si>
    <t>OGU</t>
  </si>
  <si>
    <t>PREFEITURA MUNICIPAL DE SÃO FRANCISCO-MG</t>
  </si>
  <si>
    <t xml:space="preserve">SÃO FRANCISCO </t>
  </si>
  <si>
    <t xml:space="preserve">PAVIMENTAÇÃO  EM CBUQ DE DIVERSAS VIAS DO MUNICIPIO DE SÃO FRANCISCO-MG </t>
  </si>
  <si>
    <t>DESONERADO</t>
  </si>
  <si>
    <t>KÁREN MARIANA SOARES VIEIRA</t>
  </si>
  <si>
    <t>332.425/D-MG</t>
  </si>
  <si>
    <t>MIGUEL PAULO SOUSA FILHO</t>
  </si>
  <si>
    <t xml:space="preserve">PREFEITO MUNICIPAL </t>
  </si>
  <si>
    <t>SERVIÇOS PRELIMINARES</t>
  </si>
  <si>
    <t>103689</t>
  </si>
  <si>
    <t>SEINFRA</t>
  </si>
  <si>
    <t>RO-41599</t>
  </si>
  <si>
    <t xml:space="preserve">TERRAPLANAGEM </t>
  </si>
  <si>
    <t>99064</t>
  </si>
  <si>
    <t>101116</t>
  </si>
  <si>
    <t>100984</t>
  </si>
  <si>
    <t>93588</t>
  </si>
  <si>
    <t>100576</t>
  </si>
  <si>
    <t>95425</t>
  </si>
  <si>
    <t>IMPRIMAÇÃO</t>
  </si>
  <si>
    <t>PINTURA DE LIGAÇÃO</t>
  </si>
  <si>
    <t xml:space="preserve">PAVIMENTAÇÃO </t>
  </si>
  <si>
    <t xml:space="preserve">MEIO-FIO E DRENAGEM </t>
  </si>
  <si>
    <t>PASSEIO E SINALIZAÇÃO</t>
  </si>
  <si>
    <t>RO-51228</t>
  </si>
  <si>
    <t>100970</t>
  </si>
  <si>
    <t>RO-51229</t>
  </si>
  <si>
    <t>95995</t>
  </si>
  <si>
    <t>RO-41368</t>
  </si>
  <si>
    <t>94273</t>
  </si>
  <si>
    <t>94267</t>
  </si>
  <si>
    <t>94991</t>
  </si>
  <si>
    <t>38135</t>
  </si>
  <si>
    <t>102509</t>
  </si>
  <si>
    <t>RO-42980</t>
  </si>
  <si>
    <t>104737</t>
  </si>
  <si>
    <t>SINAPI-I</t>
  </si>
  <si>
    <t xml:space="preserve">RUA ALPIDIO CANABRAVA </t>
  </si>
  <si>
    <t>RUA UM TRECHO 01</t>
  </si>
  <si>
    <t>RUA ARISTEU MACIEL T1</t>
  </si>
  <si>
    <t>RUA D</t>
  </si>
  <si>
    <t>RUA F</t>
  </si>
  <si>
    <t>RUA PADRE NICOLAU</t>
  </si>
  <si>
    <t xml:space="preserve">RUA SEM NOME </t>
  </si>
  <si>
    <t xml:space="preserve">RUA ASTROGILDO RODRIGUES CORDEIRO </t>
  </si>
  <si>
    <t>RUA UM TRECHO 2</t>
  </si>
  <si>
    <t>RUA ARISTEU MACIEL T2</t>
  </si>
  <si>
    <t>RUA DEPUTADO JORGE VARGAS T1</t>
  </si>
  <si>
    <t>RUA DEPUTADO JORGE VARGAS T2</t>
  </si>
  <si>
    <t>100564</t>
  </si>
  <si>
    <t>AQUISIÇÃO DE SOLO (AQUISIÇÃO DA PREFEITURA)</t>
  </si>
  <si>
    <t>Em Análise</t>
  </si>
  <si>
    <t>951453</t>
  </si>
  <si>
    <t xml:space="preserve">PAVIMENTAÇÃO ASFALTICA EM CBUQ DE DIVERSAS VIAS DO BAIRRO FUNCIONÁRIOS NO  MUNICIPIO DE SÃO FRANCISCO-MG </t>
  </si>
  <si>
    <t xml:space="preserve">PAVIMENTAÇÃO ASFALTICA EM CBUQ DE DIVERSAS VIAS DO BAIRRO FUNCIONÁRIOS NO  MUNICIPIO DE SÃO FRANCISCO-MG  </t>
  </si>
  <si>
    <t>CONFORME MEMORIA DE CALCULO AUXILIAR</t>
  </si>
  <si>
    <t>RO-42981</t>
  </si>
  <si>
    <t>MG20242766780</t>
  </si>
  <si>
    <t xml:space="preserve">DRENAGEM </t>
  </si>
  <si>
    <t>102283</t>
  </si>
  <si>
    <t>101617</t>
  </si>
  <si>
    <t>101572</t>
  </si>
  <si>
    <t>93369</t>
  </si>
  <si>
    <t>95426</t>
  </si>
  <si>
    <t>99244</t>
  </si>
  <si>
    <t>97952</t>
  </si>
  <si>
    <t>92212</t>
  </si>
  <si>
    <t>01090614-71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</si>
</sst>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841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12" xfId="0" applyFill="1" applyBorder="1"/>
    <xf numFmtId="0" fontId="0" fillId="6" borderId="0" xfId="0" applyFont="1" applyFill="1" applyBorder="1"/>
    <xf numFmtId="0" fontId="0" fillId="16" borderId="0" xfId="0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 applyProtection="1">
      <alignment horizontal="left"/>
    </xf>
    <xf numFmtId="0" fontId="24" fillId="0" borderId="14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0" fillId="0" borderId="0" xfId="0" applyFo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Font="1" applyAlignment="1" applyProtection="1">
      <alignment horizontal="center"/>
    </xf>
    <xf numFmtId="0" fontId="0" fillId="0" borderId="15" xfId="0" applyFont="1" applyBorder="1" applyAlignment="1">
      <alignment vertical="center"/>
    </xf>
    <xf numFmtId="0" fontId="0" fillId="16" borderId="16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vertical="center"/>
    </xf>
    <xf numFmtId="49" fontId="0" fillId="6" borderId="18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49" fontId="0" fillId="6" borderId="20" xfId="0" applyNumberFormat="1" applyFon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Font="1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Fill="1" applyBorder="1" applyAlignment="1" applyProtection="1">
      <alignment horizontal="left" vertical="center"/>
    </xf>
    <xf numFmtId="0" fontId="0" fillId="0" borderId="23" xfId="0" applyFont="1" applyBorder="1" applyAlignment="1">
      <alignment vertical="center"/>
    </xf>
    <xf numFmtId="49" fontId="0" fillId="6" borderId="24" xfId="0" applyNumberFormat="1" applyFont="1" applyFill="1" applyBorder="1" applyAlignment="1" applyProtection="1">
      <alignment vertical="center" wrapText="1"/>
      <protection locked="0"/>
    </xf>
    <xf numFmtId="49" fontId="0" fillId="6" borderId="25" xfId="0" applyNumberFormat="1" applyFont="1" applyFill="1" applyBorder="1" applyAlignment="1" applyProtection="1">
      <alignment vertical="center" wrapText="1"/>
      <protection locked="0"/>
    </xf>
    <xf numFmtId="0" fontId="0" fillId="0" borderId="19" xfId="0" applyFont="1" applyFill="1" applyBorder="1" applyAlignment="1">
      <alignment vertical="center"/>
    </xf>
    <xf numFmtId="0" fontId="0" fillId="16" borderId="25" xfId="0" applyFont="1" applyFill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6" borderId="18" xfId="0" applyFont="1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ont="1" applyFill="1" applyBorder="1" applyAlignment="1" applyProtection="1">
      <alignment vertical="center"/>
      <protection locked="0"/>
    </xf>
    <xf numFmtId="0" fontId="0" fillId="6" borderId="22" xfId="0" applyFont="1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ont="1" applyFill="1" applyBorder="1" applyAlignment="1" applyProtection="1">
      <alignment vertical="center"/>
      <protection locked="0"/>
    </xf>
    <xf numFmtId="49" fontId="0" fillId="6" borderId="28" xfId="0" applyNumberFormat="1" applyFont="1" applyFill="1" applyBorder="1" applyAlignment="1" applyProtection="1">
      <alignment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0" fillId="0" borderId="12" xfId="0" applyBorder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vertical="top" indent="1"/>
    </xf>
    <xf numFmtId="0" fontId="0" fillId="0" borderId="0" xfId="0" applyBorder="1" applyAlignment="1">
      <alignment vertical="center"/>
    </xf>
    <xf numFmtId="0" fontId="0" fillId="0" borderId="0" xfId="33" applyFont="1" applyProtection="1"/>
    <xf numFmtId="0" fontId="24" fillId="0" borderId="0" xfId="33" applyFont="1" applyAlignment="1" applyProtection="1">
      <alignment horizontal="center"/>
    </xf>
    <xf numFmtId="0" fontId="23" fillId="0" borderId="0" xfId="33" applyFont="1" applyAlignment="1" applyProtection="1">
      <alignment horizontal="center"/>
    </xf>
    <xf numFmtId="0" fontId="0" fillId="0" borderId="31" xfId="0" applyFont="1" applyBorder="1" applyAlignment="1" applyProtection="1">
      <alignment horizontal="center"/>
    </xf>
    <xf numFmtId="0" fontId="24" fillId="0" borderId="32" xfId="33" applyFont="1" applyBorder="1" applyAlignment="1" applyProtection="1">
      <alignment horizontal="center"/>
    </xf>
    <xf numFmtId="10" fontId="29" fillId="0" borderId="32" xfId="33" applyNumberFormat="1" applyFont="1" applyFill="1" applyBorder="1" applyAlignment="1" applyProtection="1">
      <alignment horizontal="center"/>
    </xf>
    <xf numFmtId="0" fontId="24" fillId="0" borderId="31" xfId="35" applyFont="1" applyBorder="1" applyAlignment="1" applyProtection="1">
      <alignment horizontal="left" vertical="top"/>
    </xf>
    <xf numFmtId="0" fontId="0" fillId="0" borderId="14" xfId="33" applyFont="1" applyFill="1" applyBorder="1" applyAlignment="1" applyProtection="1">
      <alignment horizontal="left" vertical="top" wrapText="1"/>
    </xf>
    <xf numFmtId="0" fontId="24" fillId="0" borderId="0" xfId="33" applyFont="1" applyProtection="1"/>
    <xf numFmtId="0" fontId="24" fillId="0" borderId="32" xfId="33" applyFont="1" applyFill="1" applyBorder="1" applyAlignment="1" applyProtection="1">
      <alignment horizontal="center" vertical="center" wrapText="1"/>
    </xf>
    <xf numFmtId="0" fontId="8" fillId="0" borderId="0" xfId="33" applyFont="1" applyFill="1" applyBorder="1" applyAlignment="1" applyProtection="1">
      <alignment horizontal="left"/>
    </xf>
    <xf numFmtId="0" fontId="30" fillId="0" borderId="32" xfId="33" applyFont="1" applyBorder="1" applyAlignment="1" applyProtection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Fill="1" applyBorder="1" applyAlignment="1" applyProtection="1">
      <alignment horizontal="center" vertical="center"/>
    </xf>
    <xf numFmtId="10" fontId="30" fillId="0" borderId="32" xfId="33" applyNumberFormat="1" applyFont="1" applyFill="1" applyBorder="1" applyAlignment="1" applyProtection="1">
      <alignment horizontal="center" vertical="center" wrapText="1"/>
    </xf>
    <xf numFmtId="0" fontId="30" fillId="0" borderId="32" xfId="33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10" fontId="17" fillId="8" borderId="32" xfId="33" applyNumberFormat="1" applyFont="1" applyFill="1" applyBorder="1" applyAlignment="1" applyProtection="1">
      <alignment horizontal="center" vertical="center"/>
    </xf>
    <xf numFmtId="0" fontId="31" fillId="0" borderId="0" xfId="33" applyFont="1" applyBorder="1" applyAlignment="1" applyProtection="1">
      <alignment horizontal="right" vertical="center"/>
    </xf>
    <xf numFmtId="0" fontId="0" fillId="0" borderId="0" xfId="33" applyFont="1" applyBorder="1" applyAlignment="1" applyProtection="1">
      <alignment horizontal="center" vertical="top"/>
    </xf>
    <xf numFmtId="0" fontId="33" fillId="0" borderId="0" xfId="0" applyFont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35" fillId="0" borderId="0" xfId="33" applyFont="1" applyBorder="1" applyAlignment="1" applyProtection="1">
      <alignment horizontal="center" vertical="top"/>
    </xf>
    <xf numFmtId="169" fontId="0" fillId="0" borderId="0" xfId="33" applyNumberFormat="1" applyFont="1" applyAlignment="1" applyProtection="1"/>
    <xf numFmtId="0" fontId="24" fillId="0" borderId="10" xfId="33" applyFont="1" applyBorder="1" applyAlignment="1" applyProtection="1">
      <alignment horizontal="left"/>
    </xf>
    <xf numFmtId="0" fontId="0" fillId="0" borderId="10" xfId="33" applyFont="1" applyBorder="1" applyProtection="1"/>
    <xf numFmtId="0" fontId="30" fillId="0" borderId="0" xfId="33" applyFont="1" applyBorder="1" applyProtection="1"/>
    <xf numFmtId="0" fontId="0" fillId="0" borderId="0" xfId="33" applyFont="1" applyBorder="1" applyProtection="1"/>
    <xf numFmtId="0" fontId="24" fillId="0" borderId="0" xfId="35" applyFont="1" applyBorder="1" applyAlignment="1" applyProtection="1">
      <alignment horizontal="left" vertical="top"/>
    </xf>
    <xf numFmtId="0" fontId="0" fillId="0" borderId="0" xfId="33" applyNumberFormat="1" applyFont="1" applyFill="1" applyBorder="1" applyAlignment="1" applyProtection="1">
      <alignment vertical="top"/>
    </xf>
    <xf numFmtId="167" fontId="0" fillId="0" borderId="0" xfId="33" applyNumberFormat="1" applyFont="1" applyFill="1" applyBorder="1" applyAlignment="1" applyProtection="1"/>
    <xf numFmtId="0" fontId="30" fillId="0" borderId="0" xfId="33" applyFont="1" applyProtection="1"/>
    <xf numFmtId="167" fontId="0" fillId="0" borderId="0" xfId="33" applyNumberFormat="1" applyFont="1" applyFill="1" applyBorder="1" applyAlignment="1" applyProtection="1">
      <alignment vertical="top"/>
    </xf>
    <xf numFmtId="0" fontId="0" fillId="0" borderId="0" xfId="0" applyFont="1" applyFill="1"/>
    <xf numFmtId="0" fontId="0" fillId="0" borderId="0" xfId="0" applyBorder="1"/>
    <xf numFmtId="0" fontId="36" fillId="0" borderId="0" xfId="0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/>
    <xf numFmtId="0" fontId="0" fillId="0" borderId="0" xfId="0" applyFont="1" applyBorder="1"/>
    <xf numFmtId="0" fontId="37" fillId="0" borderId="0" xfId="0" applyFont="1" applyAlignment="1">
      <alignment horizontal="left" vertical="center"/>
    </xf>
    <xf numFmtId="0" fontId="24" fillId="0" borderId="0" xfId="0" applyFont="1" applyBorder="1" applyAlignment="1" applyProtection="1">
      <alignment horizontal="center"/>
    </xf>
    <xf numFmtId="0" fontId="38" fillId="0" borderId="0" xfId="0" applyFont="1"/>
    <xf numFmtId="0" fontId="0" fillId="0" borderId="0" xfId="0" applyFont="1" applyAlignment="1">
      <alignment wrapText="1"/>
    </xf>
    <xf numFmtId="10" fontId="0" fillId="0" borderId="0" xfId="0" applyNumberFormat="1" applyFont="1"/>
    <xf numFmtId="0" fontId="24" fillId="0" borderId="31" xfId="35" applyFont="1" applyBorder="1" applyAlignment="1" applyProtection="1">
      <alignment vertical="top"/>
    </xf>
    <xf numFmtId="0" fontId="0" fillId="0" borderId="32" xfId="0" applyFont="1" applyBorder="1"/>
    <xf numFmtId="0" fontId="0" fillId="0" borderId="32" xfId="0" applyFont="1" applyBorder="1" applyProtection="1">
      <protection locked="0"/>
    </xf>
    <xf numFmtId="0" fontId="0" fillId="0" borderId="0" xfId="0" applyFont="1" applyAlignment="1">
      <alignment horizontal="center"/>
    </xf>
    <xf numFmtId="10" fontId="0" fillId="0" borderId="0" xfId="0" applyNumberFormat="1" applyBorder="1"/>
    <xf numFmtId="10" fontId="0" fillId="0" borderId="0" xfId="0" applyNumberFormat="1"/>
    <xf numFmtId="0" fontId="0" fillId="0" borderId="14" xfId="33" applyFont="1" applyFill="1" applyBorder="1" applyAlignment="1" applyProtection="1">
      <alignment vertical="top" wrapText="1"/>
    </xf>
    <xf numFmtId="0" fontId="0" fillId="0" borderId="29" xfId="33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horizontal="left" vertical="top" wrapText="1"/>
    </xf>
    <xf numFmtId="0" fontId="0" fillId="0" borderId="32" xfId="0" applyNumberFormat="1" applyFont="1" applyBorder="1" applyProtection="1">
      <protection locked="0"/>
    </xf>
    <xf numFmtId="0" fontId="0" fillId="0" borderId="10" xfId="33" applyFont="1" applyFill="1" applyBorder="1" applyAlignment="1" applyProtection="1">
      <alignment horizontal="left" vertical="top" wrapText="1"/>
    </xf>
    <xf numFmtId="0" fontId="0" fillId="0" borderId="10" xfId="33" applyFont="1" applyFill="1" applyBorder="1" applyAlignment="1" applyProtection="1">
      <alignment vertical="top" wrapText="1"/>
    </xf>
    <xf numFmtId="0" fontId="22" fillId="0" borderId="0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24" fillId="0" borderId="0" xfId="35" applyFont="1" applyBorder="1" applyAlignment="1" applyProtection="1">
      <alignment horizontal="center" vertical="top"/>
    </xf>
    <xf numFmtId="0" fontId="24" fillId="0" borderId="31" xfId="35" applyFont="1" applyBorder="1" applyAlignment="1" applyProtection="1">
      <alignment horizontal="center" vertical="top"/>
    </xf>
    <xf numFmtId="0" fontId="0" fillId="0" borderId="0" xfId="0" applyFont="1" applyFill="1" applyAlignment="1" applyProtection="1"/>
    <xf numFmtId="170" fontId="0" fillId="0" borderId="14" xfId="33" applyNumberFormat="1" applyFont="1" applyFill="1" applyBorder="1" applyAlignment="1" applyProtection="1">
      <alignment vertical="top" shrinkToFit="1"/>
    </xf>
    <xf numFmtId="0" fontId="0" fillId="0" borderId="30" xfId="33" applyFont="1" applyFill="1" applyBorder="1" applyAlignment="1" applyProtection="1">
      <alignment horizontal="center" vertical="top" wrapText="1"/>
    </xf>
    <xf numFmtId="0" fontId="0" fillId="0" borderId="14" xfId="33" applyFont="1" applyFill="1" applyBorder="1" applyAlignment="1" applyProtection="1">
      <alignment horizontal="center" vertical="top" wrapText="1"/>
    </xf>
    <xf numFmtId="10" fontId="0" fillId="0" borderId="0" xfId="0" applyNumberFormat="1" applyFont="1" applyAlignment="1" applyProtection="1">
      <alignment vertical="center" wrapText="1"/>
    </xf>
    <xf numFmtId="0" fontId="42" fillId="0" borderId="34" xfId="0" applyFont="1" applyBorder="1" applyAlignment="1" applyProtection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45" fillId="0" borderId="32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/>
    </xf>
    <xf numFmtId="0" fontId="24" fillId="0" borderId="35" xfId="0" applyFont="1" applyFill="1" applyBorder="1" applyAlignment="1" applyProtection="1">
      <alignment horizontal="center" vertical="center" wrapText="1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37" xfId="0" applyFont="1" applyBorder="1" applyAlignment="1" applyProtection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8" xfId="0" applyNumberFormat="1" applyFont="1" applyFill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>
      <alignment vertical="center" wrapText="1" shrinkToFit="1"/>
    </xf>
    <xf numFmtId="49" fontId="0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0" xfId="0" applyNumberFormat="1" applyFont="1" applyFill="1" applyBorder="1" applyAlignment="1" applyProtection="1">
      <alignment horizontal="left" vertical="center" wrapText="1"/>
      <protection locked="0"/>
    </xf>
    <xf numFmtId="0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171" fontId="0" fillId="0" borderId="40" xfId="48" applyNumberFormat="1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NumberFormat="1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Font="1" applyBorder="1"/>
    <xf numFmtId="0" fontId="0" fillId="0" borderId="44" xfId="0" applyFont="1" applyBorder="1"/>
    <xf numFmtId="0" fontId="22" fillId="0" borderId="0" xfId="0" applyFont="1" applyFill="1"/>
    <xf numFmtId="0" fontId="0" fillId="0" borderId="0" xfId="0" applyFont="1" applyAlignment="1">
      <alignment horizontal="left"/>
    </xf>
    <xf numFmtId="0" fontId="24" fillId="17" borderId="32" xfId="0" applyNumberFormat="1" applyFont="1" applyFill="1" applyBorder="1" applyAlignment="1" applyProtection="1">
      <alignment horizontal="center" vertical="center"/>
    </xf>
    <xf numFmtId="49" fontId="24" fillId="17" borderId="45" xfId="0" applyNumberFormat="1" applyFont="1" applyFill="1" applyBorder="1" applyAlignment="1" applyProtection="1">
      <alignment horizontal="center" vertical="center"/>
    </xf>
    <xf numFmtId="171" fontId="24" fillId="17" borderId="45" xfId="48" applyNumberFormat="1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NumberFormat="1" applyFont="1" applyFill="1" applyBorder="1" applyAlignment="1" applyProtection="1">
      <alignment horizontal="center" vertical="center" shrinkToFit="1"/>
    </xf>
    <xf numFmtId="171" fontId="21" fillId="17" borderId="46" xfId="48" applyNumberFormat="1" applyFont="1" applyFill="1" applyBorder="1" applyAlignment="1" applyProtection="1">
      <alignment horizontal="center" vertical="center" shrinkToFit="1"/>
    </xf>
    <xf numFmtId="0" fontId="22" fillId="0" borderId="0" xfId="0" applyFont="1"/>
    <xf numFmtId="0" fontId="0" fillId="4" borderId="13" xfId="0" applyFont="1" applyFill="1" applyBorder="1"/>
    <xf numFmtId="0" fontId="0" fillId="4" borderId="46" xfId="0" applyFont="1" applyFill="1" applyBorder="1"/>
    <xf numFmtId="0" fontId="30" fillId="0" borderId="0" xfId="0" applyFont="1"/>
    <xf numFmtId="0" fontId="30" fillId="0" borderId="33" xfId="0" applyFont="1" applyBorder="1" applyAlignment="1" applyProtection="1">
      <alignment horizontal="left" vertical="center"/>
    </xf>
    <xf numFmtId="0" fontId="0" fillId="0" borderId="12" xfId="0" applyFont="1" applyBorder="1"/>
    <xf numFmtId="0" fontId="30" fillId="0" borderId="0" xfId="0" applyFont="1" applyFill="1" applyBorder="1" applyAlignment="1" applyProtection="1">
      <alignment horizontal="left" wrapText="1"/>
      <protection locked="0"/>
    </xf>
    <xf numFmtId="0" fontId="17" fillId="0" borderId="0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17" fillId="0" borderId="30" xfId="33" applyFont="1" applyBorder="1" applyAlignment="1" applyProtection="1">
      <alignment vertical="center"/>
    </xf>
    <xf numFmtId="0" fontId="0" fillId="0" borderId="0" xfId="0" applyFill="1"/>
    <xf numFmtId="0" fontId="24" fillId="0" borderId="10" xfId="0" applyFont="1" applyBorder="1"/>
    <xf numFmtId="0" fontId="0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 applyProtection="1">
      <alignment vertical="top"/>
    </xf>
    <xf numFmtId="0" fontId="24" fillId="0" borderId="0" xfId="35" applyFont="1" applyBorder="1" applyAlignment="1" applyProtection="1">
      <alignment vertical="top"/>
    </xf>
    <xf numFmtId="0" fontId="24" fillId="0" borderId="12" xfId="35" applyFont="1" applyBorder="1" applyAlignment="1" applyProtection="1">
      <alignment vertical="top"/>
    </xf>
    <xf numFmtId="0" fontId="0" fillId="0" borderId="47" xfId="33" applyNumberFormat="1" applyFont="1" applyFill="1" applyBorder="1" applyAlignment="1" applyProtection="1">
      <alignment vertical="top"/>
    </xf>
    <xf numFmtId="0" fontId="0" fillId="0" borderId="30" xfId="33" applyFont="1" applyFill="1" applyBorder="1" applyAlignment="1" applyProtection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6" borderId="49" xfId="0" applyFill="1" applyBorder="1" applyAlignment="1" applyProtection="1">
      <alignment horizontal="center" textRotation="90" wrapText="1"/>
      <protection locked="0"/>
    </xf>
    <xf numFmtId="0" fontId="0" fillId="0" borderId="37" xfId="0" applyFill="1" applyBorder="1" applyAlignment="1" applyProtection="1">
      <alignment horizontal="center" textRotation="90" wrapText="1"/>
    </xf>
    <xf numFmtId="0" fontId="0" fillId="0" borderId="48" xfId="0" applyFill="1" applyBorder="1" applyAlignment="1" applyProtection="1">
      <alignment horizontal="center" textRotation="90" wrapText="1"/>
    </xf>
    <xf numFmtId="0" fontId="0" fillId="0" borderId="49" xfId="0" applyFill="1" applyBorder="1" applyAlignment="1" applyProtection="1">
      <alignment horizontal="center" textRotation="90" wrapText="1"/>
    </xf>
    <xf numFmtId="0" fontId="24" fillId="0" borderId="0" xfId="0" applyFont="1" applyAlignment="1">
      <alignment horizontal="center"/>
    </xf>
    <xf numFmtId="0" fontId="24" fillId="0" borderId="50" xfId="0" applyFont="1" applyBorder="1" applyAlignment="1" applyProtection="1">
      <alignment horizontal="center" vertical="center" wrapText="1"/>
    </xf>
    <xf numFmtId="0" fontId="24" fillId="0" borderId="51" xfId="0" applyFont="1" applyBorder="1" applyAlignment="1" applyProtection="1">
      <alignment horizontal="center" vertical="center" wrapText="1"/>
    </xf>
    <xf numFmtId="0" fontId="24" fillId="0" borderId="52" xfId="0" applyFont="1" applyBorder="1" applyAlignment="1" applyProtection="1">
      <alignment horizontal="center" vertical="center" wrapText="1"/>
    </xf>
    <xf numFmtId="0" fontId="24" fillId="0" borderId="48" xfId="0" applyFont="1" applyBorder="1" applyAlignment="1" applyProtection="1">
      <alignment horizontal="center" vertical="center" wrapText="1"/>
    </xf>
    <xf numFmtId="0" fontId="24" fillId="0" borderId="49" xfId="0" applyFont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 applyProtection="1">
      <alignment vertical="center" wrapText="1" shrinkToFit="1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40" xfId="0" applyNumberFormat="1" applyFont="1" applyFill="1" applyBorder="1" applyAlignment="1" applyProtection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NumberFormat="1" applyFont="1" applyFill="1" applyBorder="1" applyAlignment="1" applyProtection="1">
      <alignment horizontal="left" vertical="center"/>
    </xf>
    <xf numFmtId="0" fontId="24" fillId="14" borderId="32" xfId="0" applyNumberFormat="1" applyFont="1" applyFill="1" applyBorder="1" applyAlignment="1" applyProtection="1">
      <alignment horizontal="center" vertical="center"/>
    </xf>
    <xf numFmtId="0" fontId="24" fillId="17" borderId="32" xfId="0" applyNumberFormat="1" applyFont="1" applyFill="1" applyBorder="1" applyAlignment="1" applyProtection="1">
      <alignment horizontal="right" vertical="center"/>
    </xf>
    <xf numFmtId="4" fontId="24" fillId="17" borderId="55" xfId="0" applyNumberFormat="1" applyFont="1" applyFill="1" applyBorder="1" applyAlignment="1" applyProtection="1">
      <alignment horizontal="right" vertical="center" shrinkToFit="1"/>
    </xf>
    <xf numFmtId="4" fontId="24" fillId="17" borderId="56" xfId="0" applyNumberFormat="1" applyFont="1" applyFill="1" applyBorder="1" applyAlignment="1" applyProtection="1">
      <alignment horizontal="right" vertical="center" shrinkToFit="1"/>
    </xf>
    <xf numFmtId="4" fontId="24" fillId="17" borderId="57" xfId="0" applyNumberFormat="1" applyFont="1" applyFill="1" applyBorder="1" applyAlignment="1" applyProtection="1">
      <alignment horizontal="right" vertical="center" shrinkToFit="1"/>
    </xf>
    <xf numFmtId="4" fontId="24" fillId="17" borderId="37" xfId="0" applyNumberFormat="1" applyFont="1" applyFill="1" applyBorder="1" applyAlignment="1" applyProtection="1">
      <alignment horizontal="right" vertical="center" shrinkToFit="1"/>
    </xf>
    <xf numFmtId="0" fontId="24" fillId="17" borderId="37" xfId="0" applyNumberFormat="1" applyFont="1" applyFill="1" applyBorder="1" applyAlignment="1" applyProtection="1">
      <alignment horizontal="right" vertical="center" shrinkToFit="1"/>
    </xf>
    <xf numFmtId="0" fontId="0" fillId="18" borderId="13" xfId="0" applyFill="1" applyBorder="1"/>
    <xf numFmtId="0" fontId="0" fillId="4" borderId="45" xfId="0" applyFont="1" applyFill="1" applyBorder="1"/>
    <xf numFmtId="167" fontId="0" fillId="0" borderId="30" xfId="0" applyNumberFormat="1" applyFont="1" applyBorder="1" applyAlignment="1" applyProtection="1"/>
    <xf numFmtId="0" fontId="0" fillId="0" borderId="30" xfId="0" applyBorder="1"/>
    <xf numFmtId="0" fontId="0" fillId="0" borderId="0" xfId="33" applyFont="1" applyBorder="1" applyAlignment="1" applyProtection="1">
      <alignment vertical="center"/>
    </xf>
    <xf numFmtId="0" fontId="12" fillId="0" borderId="32" xfId="0" applyFont="1" applyBorder="1" applyProtection="1"/>
    <xf numFmtId="0" fontId="12" fillId="0" borderId="32" xfId="0" applyFont="1" applyBorder="1" applyAlignment="1" applyProtection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 applyAlignment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46" fillId="0" borderId="0" xfId="34" applyFont="1" applyBorder="1"/>
    <xf numFmtId="0" fontId="46" fillId="0" borderId="0" xfId="34" applyFont="1" applyBorder="1" applyAlignment="1">
      <alignment horizontal="center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 applyAlignment="1"/>
    <xf numFmtId="0" fontId="46" fillId="0" borderId="14" xfId="34" applyNumberFormat="1" applyFont="1" applyBorder="1" applyAlignment="1">
      <alignment horizontal="center"/>
    </xf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 applyAlignment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Fill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Fill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0" fillId="0" borderId="30" xfId="0" applyFont="1" applyBorder="1"/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24" fillId="0" borderId="0" xfId="0" applyFon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Font="1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 applyAlignment="1"/>
    <xf numFmtId="0" fontId="24" fillId="8" borderId="77" xfId="0" applyFont="1" applyFill="1" applyBorder="1" applyAlignment="1"/>
    <xf numFmtId="0" fontId="24" fillId="8" borderId="78" xfId="0" applyFont="1" applyFill="1" applyBorder="1" applyAlignment="1"/>
    <xf numFmtId="0" fontId="0" fillId="18" borderId="40" xfId="0" applyFill="1" applyBorder="1" applyAlignment="1">
      <alignment horizontal="center"/>
    </xf>
    <xf numFmtId="0" fontId="0" fillId="18" borderId="40" xfId="0" applyFont="1" applyFill="1" applyBorder="1"/>
    <xf numFmtId="0" fontId="0" fillId="8" borderId="79" xfId="0" applyFill="1" applyBorder="1"/>
    <xf numFmtId="0" fontId="0" fillId="8" borderId="80" xfId="0" applyFont="1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 applyAlignment="1"/>
    <xf numFmtId="0" fontId="0" fillId="4" borderId="13" xfId="0" applyFill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 indent="2"/>
    </xf>
    <xf numFmtId="0" fontId="0" fillId="0" borderId="32" xfId="0" applyFont="1" applyFill="1" applyBorder="1" applyAlignment="1" applyProtection="1"/>
    <xf numFmtId="10" fontId="0" fillId="0" borderId="32" xfId="0" applyNumberFormat="1" applyFont="1" applyBorder="1" applyAlignment="1" applyProtection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4" fontId="0" fillId="0" borderId="0" xfId="31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0" borderId="32" xfId="0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Font="1" applyFill="1" applyAlignment="1">
      <alignment horizontal="center" vertical="top"/>
    </xf>
    <xf numFmtId="0" fontId="0" fillId="0" borderId="82" xfId="0" applyFont="1" applyBorder="1"/>
    <xf numFmtId="0" fontId="0" fillId="0" borderId="11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Fill="1" applyBorder="1" applyAlignment="1" applyProtection="1">
      <alignment vertical="top" wrapText="1"/>
    </xf>
    <xf numFmtId="182" fontId="0" fillId="0" borderId="29" xfId="33" applyNumberFormat="1" applyFont="1" applyFill="1" applyBorder="1" applyAlignment="1" applyProtection="1">
      <alignment horizontal="left" vertical="top" wrapText="1"/>
    </xf>
    <xf numFmtId="0" fontId="0" fillId="0" borderId="34" xfId="0" applyFont="1" applyBorder="1"/>
    <xf numFmtId="0" fontId="0" fillId="0" borderId="31" xfId="0" applyBorder="1"/>
    <xf numFmtId="49" fontId="0" fillId="0" borderId="14" xfId="33" applyNumberFormat="1" applyFont="1" applyFill="1" applyBorder="1" applyAlignment="1" applyProtection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 wrapText="1"/>
    </xf>
    <xf numFmtId="183" fontId="24" fillId="8" borderId="34" xfId="0" applyNumberFormat="1" applyFont="1" applyFill="1" applyBorder="1" applyAlignment="1" applyProtection="1">
      <alignment horizontal="center" vertical="center" wrapText="1"/>
    </xf>
    <xf numFmtId="171" fontId="0" fillId="0" borderId="38" xfId="48" applyNumberFormat="1" applyFont="1" applyFill="1" applyBorder="1" applyAlignment="1" applyProtection="1">
      <alignment vertical="center" shrinkToFit="1"/>
    </xf>
    <xf numFmtId="171" fontId="0" fillId="0" borderId="69" xfId="48" applyNumberFormat="1" applyFont="1" applyFill="1" applyBorder="1" applyAlignment="1" applyProtection="1">
      <alignment vertical="center" shrinkToFit="1"/>
    </xf>
    <xf numFmtId="171" fontId="0" fillId="0" borderId="39" xfId="48" applyNumberFormat="1" applyFont="1" applyFill="1" applyBorder="1" applyAlignment="1" applyProtection="1">
      <alignment horizontal="center" vertical="center" shrinkToFit="1"/>
    </xf>
    <xf numFmtId="171" fontId="0" fillId="0" borderId="40" xfId="48" applyNumberFormat="1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171" fontId="24" fillId="17" borderId="14" xfId="48" applyNumberFormat="1" applyFont="1" applyFill="1" applyBorder="1" applyAlignment="1" applyProtection="1">
      <alignment horizontal="center" vertical="center"/>
    </xf>
    <xf numFmtId="171" fontId="24" fillId="17" borderId="14" xfId="48" applyNumberFormat="1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Font="1" applyFill="1" applyBorder="1" applyAlignment="1" applyProtection="1">
      <alignment horizontal="center" wrapText="1"/>
    </xf>
    <xf numFmtId="0" fontId="0" fillId="0" borderId="46" xfId="0" applyFont="1" applyFill="1" applyBorder="1" applyAlignment="1" applyProtection="1">
      <alignment horizontal="center" wrapText="1"/>
    </xf>
    <xf numFmtId="0" fontId="24" fillId="0" borderId="32" xfId="0" applyFont="1" applyFill="1" applyBorder="1" applyAlignment="1" applyProtection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0" fillId="0" borderId="0" xfId="0" applyBorder="1" applyAlignment="1"/>
    <xf numFmtId="0" fontId="24" fillId="0" borderId="12" xfId="35" applyFont="1" applyBorder="1" applyAlignment="1" applyProtection="1"/>
    <xf numFmtId="0" fontId="0" fillId="0" borderId="29" xfId="0" applyBorder="1" applyAlignment="1">
      <alignment shrinkToFit="1"/>
    </xf>
    <xf numFmtId="0" fontId="0" fillId="0" borderId="31" xfId="33" applyFont="1" applyFill="1" applyBorder="1" applyAlignment="1" applyProtection="1">
      <alignment vertical="top" wrapText="1"/>
    </xf>
    <xf numFmtId="4" fontId="0" fillId="0" borderId="14" xfId="33" applyNumberFormat="1" applyFont="1" applyFill="1" applyBorder="1" applyAlignment="1" applyProtection="1">
      <alignment horizontal="left" vertical="top" wrapText="1"/>
    </xf>
    <xf numFmtId="4" fontId="0" fillId="0" borderId="47" xfId="3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Border="1" applyAlignment="1" applyProtection="1">
      <alignment horizontal="center" vertical="center" wrapText="1"/>
    </xf>
    <xf numFmtId="170" fontId="24" fillId="0" borderId="47" xfId="0" applyNumberFormat="1" applyFont="1" applyBorder="1" applyAlignment="1" applyProtection="1">
      <alignment horizontal="center"/>
    </xf>
    <xf numFmtId="10" fontId="24" fillId="0" borderId="29" xfId="0" applyNumberFormat="1" applyFont="1" applyFill="1" applyBorder="1" applyAlignment="1" applyProtection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Font="1" applyBorder="1" applyAlignment="1" applyProtection="1">
      <alignment wrapText="1"/>
    </xf>
    <xf numFmtId="0" fontId="24" fillId="0" borderId="32" xfId="0" applyFont="1" applyBorder="1" applyAlignment="1">
      <alignment horizontal="center" vertical="center"/>
    </xf>
    <xf numFmtId="179" fontId="24" fillId="0" borderId="39" xfId="0" applyNumberFormat="1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top"/>
    </xf>
    <xf numFmtId="49" fontId="0" fillId="0" borderId="40" xfId="0" applyNumberFormat="1" applyFill="1" applyBorder="1" applyAlignment="1" applyProtection="1">
      <alignment horizontal="center" vertical="center" wrapText="1"/>
    </xf>
    <xf numFmtId="0" fontId="0" fillId="0" borderId="40" xfId="0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178" fontId="0" fillId="0" borderId="42" xfId="0" applyNumberFormat="1" applyBorder="1" applyAlignment="1" applyProtection="1">
      <alignment horizontal="center" vertical="center"/>
    </xf>
    <xf numFmtId="178" fontId="0" fillId="0" borderId="0" xfId="0" applyNumberFormat="1" applyFont="1" applyBorder="1" applyAlignment="1" applyProtection="1">
      <alignment horizontal="center" vertical="center"/>
    </xf>
    <xf numFmtId="178" fontId="0" fillId="0" borderId="38" xfId="0" applyNumberFormat="1" applyBorder="1" applyAlignment="1" applyProtection="1">
      <alignment horizontal="center" vertical="center"/>
    </xf>
    <xf numFmtId="178" fontId="0" fillId="0" borderId="79" xfId="0" applyNumberFormat="1" applyBorder="1" applyAlignment="1" applyProtection="1">
      <alignment horizontal="center" vertical="center"/>
    </xf>
    <xf numFmtId="178" fontId="0" fillId="0" borderId="69" xfId="0" applyNumberFormat="1" applyBorder="1" applyAlignment="1" applyProtection="1">
      <alignment horizontal="center" vertical="center"/>
    </xf>
    <xf numFmtId="10" fontId="0" fillId="0" borderId="69" xfId="0" applyNumberForma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82" xfId="0" applyFill="1" applyBorder="1" applyAlignment="1"/>
    <xf numFmtId="0" fontId="0" fillId="18" borderId="10" xfId="0" applyFill="1" applyBorder="1" applyAlignment="1"/>
    <xf numFmtId="0" fontId="0" fillId="18" borderId="11" xfId="0" applyFill="1" applyBorder="1" applyAlignment="1"/>
    <xf numFmtId="178" fontId="0" fillId="0" borderId="42" xfId="0" applyNumberFormat="1" applyFont="1" applyFill="1" applyBorder="1" applyAlignment="1">
      <alignment horizontal="center" vertical="center"/>
    </xf>
    <xf numFmtId="178" fontId="0" fillId="0" borderId="38" xfId="0" applyNumberFormat="1" applyFont="1" applyFill="1" applyBorder="1" applyAlignment="1">
      <alignment horizontal="center" vertical="center"/>
    </xf>
    <xf numFmtId="178" fontId="0" fillId="0" borderId="79" xfId="0" applyNumberFormat="1" applyFont="1" applyFill="1" applyBorder="1" applyAlignment="1">
      <alignment horizontal="center" vertical="center"/>
    </xf>
    <xf numFmtId="178" fontId="0" fillId="0" borderId="69" xfId="0" applyNumberFormat="1" applyFont="1" applyFill="1" applyBorder="1" applyAlignment="1">
      <alignment horizontal="center" vertical="center"/>
    </xf>
    <xf numFmtId="0" fontId="0" fillId="18" borderId="33" xfId="0" applyFill="1" applyBorder="1" applyAlignment="1"/>
    <xf numFmtId="0" fontId="0" fillId="18" borderId="0" xfId="0" applyFont="1" applyFill="1" applyBorder="1" applyAlignment="1">
      <alignment horizontal="center"/>
    </xf>
    <xf numFmtId="0" fontId="0" fillId="18" borderId="12" xfId="0" applyFont="1" applyFill="1" applyBorder="1" applyAlignment="1">
      <alignment horizontal="center"/>
    </xf>
    <xf numFmtId="0" fontId="21" fillId="0" borderId="0" xfId="0" applyFont="1"/>
    <xf numFmtId="178" fontId="0" fillId="8" borderId="42" xfId="0" applyNumberFormat="1" applyFont="1" applyFill="1" applyBorder="1" applyAlignment="1">
      <alignment horizontal="center" vertical="center"/>
    </xf>
    <xf numFmtId="178" fontId="0" fillId="8" borderId="38" xfId="0" applyNumberFormat="1" applyFont="1" applyFill="1" applyBorder="1" applyAlignment="1">
      <alignment horizontal="center" vertical="center"/>
    </xf>
    <xf numFmtId="178" fontId="0" fillId="8" borderId="79" xfId="0" applyNumberFormat="1" applyFont="1" applyFill="1" applyBorder="1" applyAlignment="1">
      <alignment horizontal="center" vertical="center"/>
    </xf>
    <xf numFmtId="178" fontId="0" fillId="8" borderId="69" xfId="0" applyNumberFormat="1" applyFont="1" applyFill="1" applyBorder="1" applyAlignment="1">
      <alignment horizontal="center" vertical="center"/>
    </xf>
    <xf numFmtId="0" fontId="0" fillId="18" borderId="84" xfId="0" applyFont="1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Font="1" applyFill="1" applyBorder="1" applyAlignment="1">
      <alignment horizontal="center" vertical="center"/>
    </xf>
    <xf numFmtId="178" fontId="0" fillId="0" borderId="59" xfId="0" applyNumberFormat="1" applyFont="1" applyFill="1" applyBorder="1" applyAlignment="1">
      <alignment horizontal="center" vertical="center"/>
    </xf>
    <xf numFmtId="178" fontId="0" fillId="0" borderId="60" xfId="0" applyNumberFormat="1" applyFont="1" applyFill="1" applyBorder="1" applyAlignment="1">
      <alignment horizontal="center" vertical="center"/>
    </xf>
    <xf numFmtId="178" fontId="0" fillId="0" borderId="61" xfId="0" applyNumberFormat="1" applyFont="1" applyFill="1" applyBorder="1" applyAlignment="1">
      <alignment horizontal="center" vertical="center"/>
    </xf>
    <xf numFmtId="0" fontId="0" fillId="18" borderId="87" xfId="0" applyFont="1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0" fontId="0" fillId="18" borderId="47" xfId="0" applyFill="1" applyBorder="1" applyAlignment="1"/>
    <xf numFmtId="0" fontId="0" fillId="18" borderId="30" xfId="0" applyFill="1" applyBorder="1" applyAlignment="1"/>
    <xf numFmtId="0" fontId="0" fillId="18" borderId="29" xfId="0" applyFill="1" applyBorder="1" applyAlignment="1"/>
    <xf numFmtId="178" fontId="0" fillId="0" borderId="0" xfId="0" applyNumberFormat="1"/>
    <xf numFmtId="0" fontId="17" fillId="0" borderId="0" xfId="33" applyFont="1" applyBorder="1" applyAlignment="1" applyProtection="1">
      <alignment vertical="center"/>
    </xf>
    <xf numFmtId="0" fontId="0" fillId="0" borderId="0" xfId="33" applyFont="1" applyBorder="1" applyAlignment="1" applyProtection="1">
      <alignment horizontal="left" vertical="center"/>
    </xf>
    <xf numFmtId="0" fontId="0" fillId="0" borderId="0" xfId="33" applyFont="1"/>
    <xf numFmtId="0" fontId="0" fillId="0" borderId="0" xfId="33" applyFont="1" applyFill="1" applyBorder="1" applyAlignment="1" applyProtection="1"/>
    <xf numFmtId="0" fontId="0" fillId="0" borderId="10" xfId="0" applyFont="1" applyBorder="1" applyAlignment="1" applyProtection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Fill="1" applyBorder="1" applyAlignment="1" applyProtection="1">
      <alignment horizontal="left"/>
    </xf>
    <xf numFmtId="0" fontId="0" fillId="0" borderId="0" xfId="33" applyFont="1" applyAlignment="1" applyProtection="1"/>
    <xf numFmtId="171" fontId="56" fillId="0" borderId="0" xfId="48" applyFill="1" applyBorder="1" applyAlignment="1" applyProtection="1"/>
    <xf numFmtId="0" fontId="0" fillId="0" borderId="0" xfId="33" applyFont="1" applyFill="1" applyBorder="1" applyAlignment="1" applyProtection="1">
      <alignment horizontal="left"/>
    </xf>
    <xf numFmtId="0" fontId="0" fillId="6" borderId="0" xfId="33" applyFont="1" applyFill="1" applyBorder="1" applyAlignment="1" applyProtection="1">
      <alignment vertical="top"/>
      <protection locked="0"/>
    </xf>
    <xf numFmtId="0" fontId="24" fillId="0" borderId="0" xfId="33" applyFont="1" applyFill="1" applyBorder="1" applyAlignment="1" applyProtection="1">
      <alignment vertical="top"/>
    </xf>
    <xf numFmtId="0" fontId="0" fillId="0" borderId="0" xfId="33" applyFont="1" applyFill="1" applyBorder="1" applyAlignment="1" applyProtection="1">
      <alignment horizontal="left"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vertical="top" wrapText="1"/>
      <protection locked="0"/>
    </xf>
    <xf numFmtId="0" fontId="0" fillId="0" borderId="30" xfId="33" applyFont="1" applyBorder="1" applyAlignment="1" applyProtection="1"/>
    <xf numFmtId="0" fontId="0" fillId="0" borderId="0" xfId="33" applyFont="1" applyBorder="1" applyAlignment="1" applyProtection="1"/>
    <xf numFmtId="0" fontId="59" fillId="0" borderId="0" xfId="0" applyFont="1" applyAlignment="1">
      <alignment horizontal="center"/>
    </xf>
    <xf numFmtId="0" fontId="0" fillId="0" borderId="0" xfId="0" applyFill="1" applyBorder="1"/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0" fillId="20" borderId="0" xfId="0" applyFill="1" applyBorder="1"/>
    <xf numFmtId="0" fontId="0" fillId="20" borderId="0" xfId="0" applyFill="1" applyBorder="1" applyAlignment="1">
      <alignment horizontal="center" vertical="center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Fill="1" applyBorder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ont="1" applyFill="1" applyBorder="1"/>
    <xf numFmtId="0" fontId="0" fillId="3" borderId="0" xfId="0" applyFont="1" applyFill="1" applyBorder="1" applyAlignment="1" applyProtection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Border="1" applyAlignment="1">
      <alignment vertical="center"/>
    </xf>
    <xf numFmtId="0" fontId="0" fillId="0" borderId="93" xfId="0" applyBorder="1"/>
    <xf numFmtId="0" fontId="0" fillId="0" borderId="93" xfId="0" applyFont="1" applyFill="1" applyBorder="1" applyAlignment="1">
      <alignment vertical="center"/>
    </xf>
    <xf numFmtId="0" fontId="0" fillId="0" borderId="93" xfId="0" applyFont="1" applyFill="1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Font="1" applyFill="1" applyBorder="1"/>
    <xf numFmtId="0" fontId="47" fillId="0" borderId="0" xfId="0" applyFont="1" applyFill="1" applyAlignment="1">
      <alignment horizontal="center"/>
    </xf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ont="1" applyFill="1" applyBorder="1"/>
    <xf numFmtId="0" fontId="0" fillId="26" borderId="46" xfId="0" applyFont="1" applyFill="1" applyBorder="1"/>
    <xf numFmtId="0" fontId="0" fillId="26" borderId="32" xfId="0" applyFont="1" applyFill="1" applyBorder="1" applyProtection="1"/>
    <xf numFmtId="0" fontId="0" fillId="26" borderId="13" xfId="0" applyFont="1" applyFill="1" applyBorder="1"/>
    <xf numFmtId="0" fontId="0" fillId="26" borderId="32" xfId="0" applyFont="1" applyFill="1" applyBorder="1" applyAlignment="1">
      <alignment horizontal="left"/>
    </xf>
    <xf numFmtId="0" fontId="0" fillId="26" borderId="32" xfId="0" applyFont="1" applyFill="1" applyBorder="1" applyAlignment="1" applyProtection="1">
      <alignment horizontal="center"/>
    </xf>
    <xf numFmtId="0" fontId="24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ont="1" applyFill="1" applyBorder="1"/>
    <xf numFmtId="0" fontId="0" fillId="27" borderId="46" xfId="0" applyFont="1" applyFill="1" applyBorder="1" applyProtection="1"/>
    <xf numFmtId="0" fontId="0" fillId="27" borderId="45" xfId="0" applyFont="1" applyFill="1" applyBorder="1"/>
    <xf numFmtId="0" fontId="0" fillId="27" borderId="46" xfId="0" applyFont="1" applyFill="1" applyBorder="1"/>
    <xf numFmtId="0" fontId="0" fillId="28" borderId="32" xfId="0" applyFont="1" applyFill="1" applyBorder="1"/>
    <xf numFmtId="171" fontId="21" fillId="17" borderId="32" xfId="48" applyNumberFormat="1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 applyProtection="1">
      <alignment horizontal="center" vertical="center" wrapText="1"/>
    </xf>
    <xf numFmtId="171" fontId="0" fillId="0" borderId="39" xfId="48" applyNumberFormat="1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45" xfId="0" applyFill="1" applyBorder="1"/>
    <xf numFmtId="0" fontId="0" fillId="26" borderId="46" xfId="0" applyFill="1" applyBorder="1"/>
    <xf numFmtId="0" fontId="0" fillId="26" borderId="37" xfId="0" applyFont="1" applyFill="1" applyBorder="1"/>
    <xf numFmtId="0" fontId="0" fillId="26" borderId="48" xfId="0" applyFont="1" applyFill="1" applyBorder="1"/>
    <xf numFmtId="0" fontId="0" fillId="26" borderId="49" xfId="0" applyFont="1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0" fillId="6" borderId="0" xfId="0" applyNumberFormat="1" applyFill="1" applyBorder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NumberFormat="1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NumberFormat="1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Protection="1"/>
    <xf numFmtId="4" fontId="0" fillId="6" borderId="53" xfId="0" applyNumberFormat="1" applyFill="1" applyBorder="1" applyAlignment="1" applyProtection="1">
      <protection locked="0"/>
    </xf>
    <xf numFmtId="4" fontId="0" fillId="6" borderId="68" xfId="0" applyNumberFormat="1" applyFill="1" applyBorder="1" applyAlignment="1" applyProtection="1">
      <protection locked="0"/>
    </xf>
    <xf numFmtId="4" fontId="0" fillId="6" borderId="74" xfId="0" applyNumberFormat="1" applyFill="1" applyBorder="1" applyAlignment="1" applyProtection="1">
      <protection locked="0"/>
    </xf>
    <xf numFmtId="4" fontId="0" fillId="6" borderId="75" xfId="0" applyNumberFormat="1" applyFill="1" applyBorder="1" applyAlignment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 applyAlignment="1"/>
    <xf numFmtId="0" fontId="0" fillId="0" borderId="93" xfId="0" applyFont="1" applyBorder="1"/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 applyProtection="1">
      <alignment horizontal="center" vertical="center"/>
    </xf>
    <xf numFmtId="171" fontId="24" fillId="17" borderId="30" xfId="48" applyNumberFormat="1" applyFont="1" applyFill="1" applyBorder="1" applyAlignment="1" applyProtection="1">
      <alignment horizontal="center" vertical="center"/>
    </xf>
    <xf numFmtId="171" fontId="24" fillId="17" borderId="29" xfId="48" applyNumberFormat="1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Font="1" applyBorder="1" applyAlignment="1" applyProtection="1">
      <alignment horizontal="left"/>
    </xf>
    <xf numFmtId="0" fontId="17" fillId="0" borderId="95" xfId="33" applyFont="1" applyBorder="1" applyAlignment="1" applyProtection="1">
      <alignment vertical="center"/>
    </xf>
    <xf numFmtId="0" fontId="0" fillId="0" borderId="95" xfId="0" applyBorder="1" applyAlignment="1">
      <alignment horizontal="center"/>
    </xf>
    <xf numFmtId="0" fontId="24" fillId="0" borderId="0" xfId="33" applyNumberFormat="1" applyFont="1" applyFill="1" applyBorder="1" applyAlignment="1" applyProtection="1">
      <alignment vertical="top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left" vertical="center" wrapText="1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on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 applyProtection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NumberFormat="1" applyFont="1" applyFill="1" applyBorder="1" applyAlignment="1" applyProtection="1">
      <alignment vertical="center" shrinkToFit="1"/>
    </xf>
    <xf numFmtId="171" fontId="24" fillId="17" borderId="71" xfId="48" applyNumberFormat="1" applyFont="1" applyFill="1" applyBorder="1" applyAlignment="1" applyProtection="1">
      <alignment horizontal="center" vertical="center" shrinkToFit="1"/>
    </xf>
    <xf numFmtId="171" fontId="24" fillId="17" borderId="75" xfId="48" applyNumberFormat="1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16" borderId="41" xfId="0" applyFill="1" applyBorder="1" applyAlignment="1" applyProtection="1">
      <alignment shrinkToFit="1"/>
      <protection locked="0"/>
    </xf>
    <xf numFmtId="0" fontId="0" fillId="0" borderId="109" xfId="0" applyFont="1" applyFill="1" applyBorder="1" applyAlignment="1">
      <alignment vertical="center"/>
    </xf>
    <xf numFmtId="0" fontId="0" fillId="16" borderId="110" xfId="0" applyFont="1" applyFill="1" applyBorder="1" applyAlignment="1" applyProtection="1">
      <alignment vertical="center"/>
      <protection locked="0"/>
    </xf>
    <xf numFmtId="43" fontId="0" fillId="0" borderId="0" xfId="0" applyNumberFormat="1"/>
    <xf numFmtId="0" fontId="0" fillId="0" borderId="0" xfId="0" applyFont="1"/>
    <xf numFmtId="0" fontId="0" fillId="0" borderId="0" xfId="0" applyFont="1"/>
    <xf numFmtId="4" fontId="0" fillId="6" borderId="37" xfId="0" applyNumberFormat="1" applyFill="1" applyBorder="1" applyAlignment="1" applyProtection="1">
      <alignment horizontal="center" textRotation="90" wrapText="1"/>
      <protection locked="0"/>
    </xf>
    <xf numFmtId="0" fontId="0" fillId="0" borderId="40" xfId="0" applyBorder="1" applyAlignment="1">
      <alignment horizontal="left"/>
    </xf>
    <xf numFmtId="0" fontId="0" fillId="0" borderId="0" xfId="0" applyFont="1"/>
    <xf numFmtId="0" fontId="18" fillId="0" borderId="32" xfId="0" applyFont="1" applyFill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12" fillId="0" borderId="111" xfId="0" applyFont="1" applyFill="1" applyBorder="1" applyAlignment="1">
      <alignment horizontal="center" vertical="center"/>
    </xf>
    <xf numFmtId="0" fontId="0" fillId="0" borderId="10" xfId="33" applyFont="1" applyBorder="1" applyAlignment="1" applyProtection="1">
      <alignment horizontal="left" vertical="center"/>
    </xf>
    <xf numFmtId="0" fontId="8" fillId="0" borderId="32" xfId="33" applyFont="1" applyBorder="1" applyAlignment="1" applyProtection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Fill="1" applyBorder="1" applyAlignment="1" applyProtection="1">
      <alignment horizontal="left"/>
    </xf>
    <xf numFmtId="186" fontId="0" fillId="0" borderId="30" xfId="33" applyNumberFormat="1" applyFont="1" applyFill="1" applyBorder="1" applyAlignment="1" applyProtection="1">
      <alignment horizontal="left"/>
    </xf>
    <xf numFmtId="0" fontId="24" fillId="0" borderId="0" xfId="33" applyFont="1" applyBorder="1" applyAlignment="1" applyProtection="1">
      <alignment horizontal="left" vertical="center"/>
    </xf>
    <xf numFmtId="0" fontId="17" fillId="0" borderId="0" xfId="33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0" fillId="0" borderId="32" xfId="33" applyFont="1" applyBorder="1" applyAlignment="1" applyProtection="1">
      <alignment horizontal="center" vertical="center" wrapText="1"/>
    </xf>
    <xf numFmtId="4" fontId="17" fillId="0" borderId="32" xfId="33" applyNumberFormat="1" applyFont="1" applyFill="1" applyBorder="1" applyAlignment="1" applyProtection="1">
      <alignment horizontal="center" vertical="center"/>
    </xf>
    <xf numFmtId="4" fontId="17" fillId="0" borderId="32" xfId="33" applyNumberFormat="1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0" fontId="32" fillId="0" borderId="0" xfId="33" applyFont="1" applyBorder="1" applyAlignment="1" applyProtection="1">
      <alignment horizontal="left" vertical="center" indent="1"/>
    </xf>
    <xf numFmtId="0" fontId="39" fillId="0" borderId="0" xfId="0" applyFont="1" applyBorder="1" applyAlignment="1">
      <alignment horizontal="center" textRotation="90"/>
    </xf>
    <xf numFmtId="0" fontId="0" fillId="0" borderId="0" xfId="33" applyFont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right" vertical="center"/>
    </xf>
    <xf numFmtId="0" fontId="34" fillId="0" borderId="0" xfId="0" applyFont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 vertical="center"/>
    </xf>
    <xf numFmtId="0" fontId="24" fillId="0" borderId="32" xfId="33" applyFont="1" applyFill="1" applyBorder="1" applyAlignment="1" applyProtection="1">
      <alignment horizontal="center" vertical="center"/>
    </xf>
    <xf numFmtId="0" fontId="17" fillId="0" borderId="32" xfId="33" applyFont="1" applyBorder="1" applyAlignment="1" applyProtection="1">
      <alignment horizontal="center" vertical="center"/>
    </xf>
    <xf numFmtId="0" fontId="24" fillId="0" borderId="31" xfId="35" applyFont="1" applyBorder="1" applyAlignment="1" applyProtection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3" fillId="0" borderId="32" xfId="33" applyFont="1" applyBorder="1" applyAlignment="1" applyProtection="1">
      <alignment horizontal="center"/>
    </xf>
    <xf numFmtId="0" fontId="0" fillId="0" borderId="14" xfId="33" applyFont="1" applyFill="1" applyBorder="1" applyAlignment="1" applyProtection="1">
      <alignment horizontal="left" vertical="top" wrapText="1"/>
    </xf>
    <xf numFmtId="0" fontId="0" fillId="0" borderId="31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8" fillId="0" borderId="32" xfId="33" applyFont="1" applyFill="1" applyBorder="1" applyAlignment="1" applyProtection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Fill="1" applyBorder="1" applyAlignment="1" applyProtection="1">
      <alignment horizontal="left" wrapText="1"/>
    </xf>
    <xf numFmtId="0" fontId="0" fillId="0" borderId="32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62" fillId="0" borderId="0" xfId="0" applyFont="1" applyBorder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Border="1" applyAlignment="1">
      <alignment horizontal="center" textRotation="90" wrapText="1"/>
    </xf>
    <xf numFmtId="0" fontId="0" fillId="14" borderId="0" xfId="0" applyFont="1" applyFill="1" applyBorder="1" applyAlignment="1">
      <alignment horizontal="left"/>
    </xf>
    <xf numFmtId="0" fontId="0" fillId="0" borderId="47" xfId="33" applyFont="1" applyFill="1" applyBorder="1" applyAlignment="1" applyProtection="1">
      <alignment horizontal="left" vertical="top" wrapText="1"/>
    </xf>
    <xf numFmtId="186" fontId="0" fillId="0" borderId="0" xfId="0" applyNumberFormat="1" applyFont="1" applyBorder="1" applyAlignment="1" applyProtection="1">
      <alignment horizontal="left"/>
    </xf>
    <xf numFmtId="0" fontId="24" fillId="17" borderId="13" xfId="0" applyNumberFormat="1" applyFont="1" applyFill="1" applyBorder="1" applyAlignment="1" applyProtection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0" fillId="0" borderId="32" xfId="0" applyFont="1" applyFill="1" applyBorder="1" applyAlignment="1" applyProtection="1">
      <alignment horizontal="left" wrapText="1"/>
    </xf>
    <xf numFmtId="0" fontId="24" fillId="17" borderId="32" xfId="0" applyNumberFormat="1" applyFont="1" applyFill="1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left" vertical="center" indent="10"/>
    </xf>
    <xf numFmtId="0" fontId="37" fillId="0" borderId="0" xfId="0" applyFont="1" applyBorder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11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left" vertical="top" wrapText="1"/>
    </xf>
    <xf numFmtId="0" fontId="12" fillId="0" borderId="32" xfId="0" applyFont="1" applyBorder="1" applyProtection="1"/>
    <xf numFmtId="0" fontId="46" fillId="18" borderId="32" xfId="0" applyFont="1" applyFill="1" applyBorder="1" applyAlignment="1" applyProtection="1">
      <alignment horizontal="left" vertical="center"/>
    </xf>
    <xf numFmtId="186" fontId="0" fillId="0" borderId="30" xfId="0" applyNumberFormat="1" applyFont="1" applyBorder="1" applyAlignment="1" applyProtection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Border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76" fontId="24" fillId="8" borderId="32" xfId="0" applyNumberFormat="1" applyFont="1" applyFill="1" applyBorder="1" applyAlignment="1">
      <alignment horizontal="center" shrinkToFit="1"/>
    </xf>
    <xf numFmtId="10" fontId="56" fillId="0" borderId="82" xfId="37" applyNumberFormat="1" applyFill="1" applyBorder="1" applyAlignment="1" applyProtection="1">
      <alignment horizontal="center"/>
    </xf>
    <xf numFmtId="14" fontId="0" fillId="6" borderId="37" xfId="0" applyNumberFormat="1" applyFill="1" applyBorder="1" applyAlignment="1" applyProtection="1">
      <alignment horizontal="center"/>
      <protection locked="0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24" fillId="0" borderId="32" xfId="0" applyFont="1" applyBorder="1" applyAlignment="1">
      <alignment horizontal="right" vertical="center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14" xfId="48" applyNumberFormat="1" applyFill="1" applyBorder="1" applyAlignment="1" applyProtection="1">
      <alignment horizontal="center" shrinkToFit="1"/>
    </xf>
    <xf numFmtId="14" fontId="0" fillId="6" borderId="49" xfId="0" applyNumberFormat="1" applyFill="1" applyBorder="1" applyAlignment="1" applyProtection="1">
      <alignment horizontal="center"/>
      <protection locked="0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3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0" fontId="24" fillId="8" borderId="32" xfId="0" applyFont="1" applyFill="1" applyBorder="1" applyAlignment="1">
      <alignment horizontal="center"/>
    </xf>
    <xf numFmtId="0" fontId="0" fillId="18" borderId="40" xfId="0" applyFont="1" applyFill="1" applyBorder="1"/>
    <xf numFmtId="0" fontId="0" fillId="0" borderId="40" xfId="0" applyBorder="1" applyAlignment="1">
      <alignment horizontal="left"/>
    </xf>
    <xf numFmtId="0" fontId="49" fillId="0" borderId="31" xfId="34" applyFont="1" applyBorder="1" applyAlignment="1">
      <alignment horizontal="center"/>
    </xf>
    <xf numFmtId="0" fontId="60" fillId="0" borderId="112" xfId="0" applyFont="1" applyBorder="1" applyAlignment="1">
      <alignment horizontal="center" vertical="top" wrapTex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46" fillId="0" borderId="14" xfId="34" applyNumberFormat="1" applyFont="1" applyBorder="1" applyAlignment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4" fillId="0" borderId="0" xfId="0" applyFont="1" applyBorder="1" applyAlignment="1">
      <alignment horizontal="center" wrapText="1"/>
    </xf>
    <xf numFmtId="0" fontId="0" fillId="0" borderId="0" xfId="0" applyFont="1" applyBorder="1" applyAlignment="1" applyProtection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 applyProtection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 applyProtection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left"/>
    </xf>
    <xf numFmtId="0" fontId="17" fillId="0" borderId="30" xfId="33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wrapText="1"/>
    </xf>
    <xf numFmtId="171" fontId="24" fillId="8" borderId="14" xfId="48" applyNumberFormat="1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 applyProtection="1">
      <alignment horizontal="left" vertical="center"/>
    </xf>
    <xf numFmtId="0" fontId="0" fillId="0" borderId="31" xfId="0" applyFont="1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NumberFormat="1" applyFont="1" applyFill="1" applyBorder="1" applyAlignment="1" applyProtection="1">
      <alignment horizontal="left" vertical="center" wrapText="1"/>
    </xf>
    <xf numFmtId="0" fontId="24" fillId="8" borderId="32" xfId="0" applyFont="1" applyFill="1" applyBorder="1" applyAlignment="1" applyProtection="1">
      <alignment horizontal="center"/>
    </xf>
    <xf numFmtId="0" fontId="24" fillId="0" borderId="14" xfId="0" applyFont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3" fillId="6" borderId="33" xfId="0" applyFont="1" applyFill="1" applyBorder="1" applyAlignment="1">
      <alignment horizontal="left"/>
    </xf>
    <xf numFmtId="0" fontId="31" fillId="0" borderId="0" xfId="0" applyFont="1" applyBorder="1" applyAlignment="1">
      <alignment horizontal="right" vertical="center" wrapText="1"/>
    </xf>
    <xf numFmtId="165" fontId="23" fillId="0" borderId="0" xfId="0" applyNumberFormat="1" applyFont="1" applyBorder="1" applyAlignment="1">
      <alignment horizontal="right" vertical="top"/>
    </xf>
    <xf numFmtId="0" fontId="0" fillId="0" borderId="14" xfId="0" applyNumberFormat="1" applyBorder="1" applyAlignment="1">
      <alignment horizontal="center"/>
    </xf>
    <xf numFmtId="0" fontId="24" fillId="0" borderId="33" xfId="35" applyFont="1" applyBorder="1" applyAlignment="1" applyProtection="1">
      <alignment horizontal="center"/>
    </xf>
    <xf numFmtId="0" fontId="24" fillId="0" borderId="0" xfId="35" applyFont="1" applyBorder="1" applyAlignment="1" applyProtection="1">
      <alignment horizontal="center"/>
    </xf>
    <xf numFmtId="0" fontId="24" fillId="0" borderId="12" xfId="35" applyFont="1" applyBorder="1" applyAlignment="1" applyProtection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Border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0" fillId="8" borderId="84" xfId="0" applyFont="1" applyFill="1" applyBorder="1" applyAlignment="1">
      <alignment horizontal="center" vertical="center"/>
    </xf>
    <xf numFmtId="0" fontId="0" fillId="8" borderId="67" xfId="0" applyFont="1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0" fillId="8" borderId="42" xfId="0" applyFont="1" applyFill="1" applyBorder="1" applyAlignment="1">
      <alignment horizontal="center" vertical="center"/>
    </xf>
    <xf numFmtId="0" fontId="0" fillId="8" borderId="69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 applyProtection="1">
      <alignment horizontal="center"/>
    </xf>
    <xf numFmtId="0" fontId="53" fillId="0" borderId="32" xfId="0" applyFont="1" applyBorder="1" applyAlignment="1" applyProtection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39" xfId="33" applyFont="1" applyBorder="1" applyAlignment="1" applyProtection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 applyProtection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horizontal="left" vertical="top" wrapText="1"/>
      <protection locked="0"/>
    </xf>
    <xf numFmtId="0" fontId="0" fillId="0" borderId="0" xfId="33" applyFont="1" applyBorder="1" applyAlignment="1" applyProtection="1">
      <alignment horizontal="left" vertical="top" wrapText="1"/>
    </xf>
    <xf numFmtId="0" fontId="0" fillId="0" borderId="53" xfId="33" applyFont="1" applyBorder="1" applyAlignment="1" applyProtection="1">
      <alignment horizontal="center"/>
    </xf>
    <xf numFmtId="0" fontId="0" fillId="0" borderId="0" xfId="33" applyFont="1" applyFill="1" applyBorder="1" applyAlignment="1" applyProtection="1">
      <alignment horizontal="left" wrapText="1"/>
    </xf>
    <xf numFmtId="0" fontId="0" fillId="0" borderId="0" xfId="33" applyNumberFormat="1" applyFont="1" applyFill="1" applyBorder="1" applyAlignment="1" applyProtection="1">
      <alignment vertical="center"/>
    </xf>
    <xf numFmtId="0" fontId="0" fillId="6" borderId="0" xfId="33" applyFont="1" applyFill="1" applyBorder="1" applyAlignment="1" applyProtection="1">
      <alignment horizontal="left" vertical="top"/>
      <protection locked="0"/>
    </xf>
    <xf numFmtId="0" fontId="0" fillId="0" borderId="0" xfId="33" applyFont="1" applyFill="1" applyBorder="1" applyAlignment="1" applyProtection="1">
      <alignment horizontal="left"/>
    </xf>
    <xf numFmtId="0" fontId="0" fillId="0" borderId="0" xfId="33" applyFont="1" applyFill="1" applyBorder="1" applyAlignment="1" applyProtection="1">
      <alignment horizontal="left" vertical="top" wrapText="1" shrinkToFit="1"/>
    </xf>
    <xf numFmtId="0" fontId="0" fillId="0" borderId="0" xfId="33" applyNumberFormat="1" applyFont="1" applyFill="1" applyBorder="1" applyAlignment="1" applyProtection="1">
      <alignment horizontal="left" vertical="top" wrapText="1"/>
    </xf>
    <xf numFmtId="0" fontId="0" fillId="0" borderId="54" xfId="33" applyFont="1" applyFill="1" applyBorder="1" applyAlignment="1" applyProtection="1">
      <alignment horizontal="center" vertical="center" wrapText="1"/>
    </xf>
    <xf numFmtId="0" fontId="0" fillId="0" borderId="68" xfId="33" applyFont="1" applyBorder="1" applyAlignment="1" applyProtection="1">
      <alignment horizontal="center" vertical="center" wrapText="1"/>
    </xf>
    <xf numFmtId="0" fontId="24" fillId="8" borderId="113" xfId="0" applyFont="1" applyFill="1" applyBorder="1" applyAlignment="1">
      <alignment horizontal="center" vertical="center" wrapText="1"/>
    </xf>
    <xf numFmtId="0" fontId="24" fillId="8" borderId="114" xfId="0" applyFont="1" applyFill="1" applyBorder="1" applyAlignment="1">
      <alignment horizontal="center" vertical="center" wrapText="1"/>
    </xf>
    <xf numFmtId="49" fontId="0" fillId="6" borderId="0" xfId="33" applyNumberFormat="1" applyFont="1" applyFill="1" applyBorder="1" applyAlignment="1" applyProtection="1">
      <alignment horizontal="left"/>
      <protection locked="0"/>
    </xf>
    <xf numFmtId="168" fontId="0" fillId="0" borderId="0" xfId="33" applyNumberFormat="1" applyFont="1" applyFill="1" applyBorder="1" applyAlignment="1" applyProtection="1">
      <alignment horizontal="right"/>
    </xf>
    <xf numFmtId="0" fontId="0" fillId="0" borderId="0" xfId="33" applyFont="1" applyBorder="1" applyAlignment="1" applyProtection="1">
      <alignment horizontal="center"/>
    </xf>
    <xf numFmtId="171" fontId="24" fillId="8" borderId="115" xfId="48" applyFont="1" applyFill="1" applyBorder="1" applyAlignment="1" applyProtection="1">
      <alignment horizontal="center" vertical="center"/>
    </xf>
    <xf numFmtId="171" fontId="24" fillId="8" borderId="116" xfId="48" applyFont="1" applyFill="1" applyBorder="1" applyAlignment="1" applyProtection="1">
      <alignment horizontal="center" vertical="center"/>
    </xf>
    <xf numFmtId="0" fontId="24" fillId="8" borderId="117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362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border>
        <top style="thin">
          <color indexed="64"/>
        </top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6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6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2087880</xdr:colOff>
      <xdr:row>2</xdr:row>
      <xdr:rowOff>259080</xdr:rowOff>
    </xdr:to>
    <xdr:pic>
      <xdr:nvPicPr>
        <xdr:cNvPr id="20321" name="Imagem 23">
          <a:extLst>
            <a:ext uri="{FF2B5EF4-FFF2-40B4-BE49-F238E27FC236}">
              <a16:creationId xmlns:a16="http://schemas.microsoft.com/office/drawing/2014/main" id="{00000000-0008-0000-0000-000061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90500"/>
          <a:ext cx="2476500" cy="541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4</xdr:row>
          <xdr:rowOff>0</xdr:rowOff>
        </xdr:from>
        <xdr:to>
          <xdr:col>2</xdr:col>
          <xdr:colOff>1264920</xdr:colOff>
          <xdr:row>6</xdr:row>
          <xdr:rowOff>7620</xdr:rowOff>
        </xdr:to>
        <xdr:grpSp>
          <xdr:nvGrpSpPr>
            <xdr:cNvPr id="20322" name="TipoOrçamento">
              <a:extLst>
                <a:ext uri="{FF2B5EF4-FFF2-40B4-BE49-F238E27FC236}">
                  <a16:creationId xmlns:a16="http://schemas.microsoft.com/office/drawing/2014/main" id="{00000000-0008-0000-0000-000062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9120" y="971537"/>
              <a:ext cx="1257300" cy="483870"/>
              <a:chOff x="523876" y="971539"/>
              <a:chExt cx="1257300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39"/>
                <a:ext cx="1257300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1363980</xdr:colOff>
          <xdr:row>4</xdr:row>
          <xdr:rowOff>0</xdr:rowOff>
        </xdr:from>
        <xdr:to>
          <xdr:col>3</xdr:col>
          <xdr:colOff>22860</xdr:colOff>
          <xdr:row>6</xdr:row>
          <xdr:rowOff>7620</xdr:rowOff>
        </xdr:to>
        <xdr:grpSp>
          <xdr:nvGrpSpPr>
            <xdr:cNvPr id="20323" name="Acompanhamento">
              <a:extLst>
                <a:ext uri="{FF2B5EF4-FFF2-40B4-BE49-F238E27FC236}">
                  <a16:creationId xmlns:a16="http://schemas.microsoft.com/office/drawing/2014/main" id="{00000000-0008-0000-0000-000063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35482" y="971537"/>
              <a:ext cx="1230630" cy="483870"/>
              <a:chOff x="1790701" y="971539"/>
              <a:chExt cx="1304925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39"/>
                <a:ext cx="1304925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50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160019</xdr:rowOff>
    </xdr:from>
    <xdr:to>
      <xdr:col>9</xdr:col>
      <xdr:colOff>1144906</xdr:colOff>
      <xdr:row>9</xdr:row>
      <xdr:rowOff>38099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160020</xdr:rowOff>
    </xdr:from>
    <xdr:to>
      <xdr:col>9</xdr:col>
      <xdr:colOff>1144905</xdr:colOff>
      <xdr:row>17</xdr:row>
      <xdr:rowOff>38100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1135380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137160</xdr:colOff>
      <xdr:row>3</xdr:row>
      <xdr:rowOff>182880</xdr:rowOff>
    </xdr:to>
    <xdr:pic>
      <xdr:nvPicPr>
        <xdr:cNvPr id="11144" name="Picture 2">
          <a:extLst>
            <a:ext uri="{FF2B5EF4-FFF2-40B4-BE49-F238E27FC236}">
              <a16:creationId xmlns:a16="http://schemas.microsoft.com/office/drawing/2014/main" id="{00000000-0008-0000-0900-000088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85928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28575</xdr:colOff>
      <xdr:row>9</xdr:row>
      <xdr:rowOff>109185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31751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31751</xdr:colOff>
      <xdr:row>10</xdr:row>
      <xdr:rowOff>670136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23044" name="Picture 2">
          <a:extLst>
            <a:ext uri="{FF2B5EF4-FFF2-40B4-BE49-F238E27FC236}">
              <a16:creationId xmlns:a16="http://schemas.microsoft.com/office/drawing/2014/main" id="{00000000-0008-0000-0A00-000004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0"/>
          <a:ext cx="184404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9525</xdr:rowOff>
    </xdr:from>
    <xdr:to>
      <xdr:col>4</xdr:col>
      <xdr:colOff>198145</xdr:colOff>
      <xdr:row>10</xdr:row>
      <xdr:rowOff>1059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369570</xdr:colOff>
      <xdr:row>8</xdr:row>
      <xdr:rowOff>11430</xdr:rowOff>
    </xdr:from>
    <xdr:to>
      <xdr:col>5</xdr:col>
      <xdr:colOff>558186</xdr:colOff>
      <xdr:row>10</xdr:row>
      <xdr:rowOff>9710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691515</xdr:colOff>
      <xdr:row>8</xdr:row>
      <xdr:rowOff>9525</xdr:rowOff>
    </xdr:from>
    <xdr:to>
      <xdr:col>6</xdr:col>
      <xdr:colOff>198119</xdr:colOff>
      <xdr:row>10</xdr:row>
      <xdr:rowOff>1059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766657</xdr:colOff>
      <xdr:row>8</xdr:row>
      <xdr:rowOff>10583</xdr:rowOff>
    </xdr:from>
    <xdr:to>
      <xdr:col>9</xdr:col>
      <xdr:colOff>463768</xdr:colOff>
      <xdr:row>10</xdr:row>
      <xdr:rowOff>4233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1276350</xdr:colOff>
      <xdr:row>8</xdr:row>
      <xdr:rowOff>57150</xdr:rowOff>
    </xdr:from>
    <xdr:to>
      <xdr:col>12</xdr:col>
      <xdr:colOff>445815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681990</xdr:colOff>
      <xdr:row>10</xdr:row>
      <xdr:rowOff>104775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523875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22860</xdr:colOff>
      <xdr:row>0</xdr:row>
      <xdr:rowOff>15240</xdr:rowOff>
    </xdr:from>
    <xdr:to>
      <xdr:col>4</xdr:col>
      <xdr:colOff>1135380</xdr:colOff>
      <xdr:row>2</xdr:row>
      <xdr:rowOff>22860</xdr:rowOff>
    </xdr:to>
    <xdr:pic>
      <xdr:nvPicPr>
        <xdr:cNvPr id="22083" name="Picture 2">
          <a:extLst>
            <a:ext uri="{FF2B5EF4-FFF2-40B4-BE49-F238E27FC236}">
              <a16:creationId xmlns:a16="http://schemas.microsoft.com/office/drawing/2014/main" id="{00000000-0008-0000-0B00-0000435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5240"/>
          <a:ext cx="184404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794385</xdr:colOff>
      <xdr:row>8</xdr:row>
      <xdr:rowOff>112395</xdr:rowOff>
    </xdr:from>
    <xdr:to>
      <xdr:col>4</xdr:col>
      <xdr:colOff>2676525</xdr:colOff>
      <xdr:row>10</xdr:row>
      <xdr:rowOff>95412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42333</xdr:rowOff>
    </xdr:from>
    <xdr:to>
      <xdr:col>16</xdr:col>
      <xdr:colOff>0</xdr:colOff>
      <xdr:row>9</xdr:row>
      <xdr:rowOff>102792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63500</xdr:colOff>
      <xdr:row>8</xdr:row>
      <xdr:rowOff>116417</xdr:rowOff>
    </xdr:from>
    <xdr:to>
      <xdr:col>4</xdr:col>
      <xdr:colOff>650241</xdr:colOff>
      <xdr:row>10</xdr:row>
      <xdr:rowOff>101600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1386840</xdr:colOff>
      <xdr:row>0</xdr:row>
      <xdr:rowOff>381000</xdr:rowOff>
    </xdr:to>
    <xdr:pic>
      <xdr:nvPicPr>
        <xdr:cNvPr id="24595" name="Picture 2">
          <a:extLst>
            <a:ext uri="{FF2B5EF4-FFF2-40B4-BE49-F238E27FC236}">
              <a16:creationId xmlns:a16="http://schemas.microsoft.com/office/drawing/2014/main" id="{00000000-0008-0000-0C00-000013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0"/>
          <a:ext cx="19126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160020</xdr:rowOff>
    </xdr:from>
    <xdr:to>
      <xdr:col>24</xdr:col>
      <xdr:colOff>169545</xdr:colOff>
      <xdr:row>10</xdr:row>
      <xdr:rowOff>49546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85725</xdr:colOff>
      <xdr:row>8</xdr:row>
      <xdr:rowOff>28575</xdr:rowOff>
    </xdr:from>
    <xdr:to>
      <xdr:col>5</xdr:col>
      <xdr:colOff>142875</xdr:colOff>
      <xdr:row>10</xdr:row>
      <xdr:rowOff>11435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240453</xdr:colOff>
      <xdr:row>8</xdr:row>
      <xdr:rowOff>31750</xdr:rowOff>
    </xdr:from>
    <xdr:to>
      <xdr:col>5</xdr:col>
      <xdr:colOff>827194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459529</xdr:colOff>
      <xdr:row>1</xdr:row>
      <xdr:rowOff>64559</xdr:rowOff>
    </xdr:from>
    <xdr:to>
      <xdr:col>5</xdr:col>
      <xdr:colOff>486201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596265</xdr:colOff>
      <xdr:row>1</xdr:row>
      <xdr:rowOff>66675</xdr:rowOff>
    </xdr:from>
    <xdr:to>
      <xdr:col>3</xdr:col>
      <xdr:colOff>1183005</xdr:colOff>
      <xdr:row>2</xdr:row>
      <xdr:rowOff>210325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1236981</xdr:colOff>
      <xdr:row>1</xdr:row>
      <xdr:rowOff>63499</xdr:rowOff>
    </xdr:from>
    <xdr:to>
      <xdr:col>4</xdr:col>
      <xdr:colOff>399026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49540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0</xdr:row>
      <xdr:rowOff>15240</xdr:rowOff>
    </xdr:from>
    <xdr:to>
      <xdr:col>11</xdr:col>
      <xdr:colOff>403860</xdr:colOff>
      <xdr:row>2</xdr:row>
      <xdr:rowOff>38100</xdr:rowOff>
    </xdr:to>
    <xdr:pic>
      <xdr:nvPicPr>
        <xdr:cNvPr id="4848" name="Logo1">
          <a:extLs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" y="15240"/>
          <a:ext cx="18364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30903</xdr:rowOff>
    </xdr:from>
    <xdr:to>
      <xdr:col>8</xdr:col>
      <xdr:colOff>138854</xdr:colOff>
      <xdr:row>3</xdr:row>
      <xdr:rowOff>8555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57150</xdr:rowOff>
    </xdr:from>
    <xdr:to>
      <xdr:col>8</xdr:col>
      <xdr:colOff>138853</xdr:colOff>
      <xdr:row>5</xdr:row>
      <xdr:rowOff>42333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60960</xdr:colOff>
      <xdr:row>0</xdr:row>
      <xdr:rowOff>15240</xdr:rowOff>
    </xdr:from>
    <xdr:to>
      <xdr:col>15</xdr:col>
      <xdr:colOff>1036320</xdr:colOff>
      <xdr:row>1</xdr:row>
      <xdr:rowOff>167640</xdr:rowOff>
    </xdr:to>
    <xdr:pic>
      <xdr:nvPicPr>
        <xdr:cNvPr id="24130" name="Picture 2">
          <a:extLst>
            <a:ext uri="{FF2B5EF4-FFF2-40B4-BE49-F238E27FC236}">
              <a16:creationId xmlns:a16="http://schemas.microsoft.com/office/drawing/2014/main" id="{00000000-0008-0000-0400-000042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15240"/>
          <a:ext cx="1844040" cy="373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1051560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457200</xdr:colOff>
          <xdr:row>9</xdr:row>
          <xdr:rowOff>123825</xdr:rowOff>
        </xdr:from>
        <xdr:to>
          <xdr:col>19</xdr:col>
          <xdr:colOff>895350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447675</xdr:colOff>
          <xdr:row>9</xdr:row>
          <xdr:rowOff>123825</xdr:rowOff>
        </xdr:from>
        <xdr:to>
          <xdr:col>20</xdr:col>
          <xdr:colOff>876300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285750</xdr:colOff>
          <xdr:row>9</xdr:row>
          <xdr:rowOff>123825</xdr:rowOff>
        </xdr:from>
        <xdr:to>
          <xdr:col>21</xdr:col>
          <xdr:colOff>704850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361950</xdr:colOff>
          <xdr:row>9</xdr:row>
          <xdr:rowOff>123825</xdr:rowOff>
        </xdr:from>
        <xdr:to>
          <xdr:col>22</xdr:col>
          <xdr:colOff>790575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447675</xdr:colOff>
          <xdr:row>9</xdr:row>
          <xdr:rowOff>104775</xdr:rowOff>
        </xdr:from>
        <xdr:to>
          <xdr:col>23</xdr:col>
          <xdr:colOff>876300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302895</xdr:colOff>
      <xdr:row>0</xdr:row>
      <xdr:rowOff>144780</xdr:rowOff>
    </xdr:from>
    <xdr:to>
      <xdr:col>13</xdr:col>
      <xdr:colOff>285797</xdr:colOff>
      <xdr:row>2</xdr:row>
      <xdr:rowOff>38187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624896</xdr:colOff>
      <xdr:row>10</xdr:row>
      <xdr:rowOff>160060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93345</xdr:colOff>
      <xdr:row>9</xdr:row>
      <xdr:rowOff>0</xdr:rowOff>
    </xdr:from>
    <xdr:to>
      <xdr:col>17</xdr:col>
      <xdr:colOff>1560297</xdr:colOff>
      <xdr:row>10</xdr:row>
      <xdr:rowOff>160060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691515</xdr:colOff>
      <xdr:row>9</xdr:row>
      <xdr:rowOff>0</xdr:rowOff>
    </xdr:from>
    <xdr:to>
      <xdr:col>17</xdr:col>
      <xdr:colOff>9547</xdr:colOff>
      <xdr:row>10</xdr:row>
      <xdr:rowOff>160060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1644015</xdr:colOff>
      <xdr:row>9</xdr:row>
      <xdr:rowOff>0</xdr:rowOff>
    </xdr:from>
    <xdr:to>
      <xdr:col>17</xdr:col>
      <xdr:colOff>3339378</xdr:colOff>
      <xdr:row>10</xdr:row>
      <xdr:rowOff>160060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3404023</xdr:colOff>
      <xdr:row>9</xdr:row>
      <xdr:rowOff>1</xdr:rowOff>
    </xdr:from>
    <xdr:to>
      <xdr:col>18</xdr:col>
      <xdr:colOff>272154</xdr:colOff>
      <xdr:row>10</xdr:row>
      <xdr:rowOff>160061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303953</xdr:colOff>
      <xdr:row>2</xdr:row>
      <xdr:rowOff>84667</xdr:rowOff>
    </xdr:from>
    <xdr:to>
      <xdr:col>13</xdr:col>
      <xdr:colOff>285811</xdr:colOff>
      <xdr:row>4</xdr:row>
      <xdr:rowOff>69850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308186</xdr:colOff>
      <xdr:row>4</xdr:row>
      <xdr:rowOff>120650</xdr:rowOff>
    </xdr:from>
    <xdr:to>
      <xdr:col>13</xdr:col>
      <xdr:colOff>289945</xdr:colOff>
      <xdr:row>7</xdr:row>
      <xdr:rowOff>52916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15240</xdr:rowOff>
    </xdr:from>
    <xdr:to>
      <xdr:col>5</xdr:col>
      <xdr:colOff>1036320</xdr:colOff>
      <xdr:row>2</xdr:row>
      <xdr:rowOff>7620</xdr:rowOff>
    </xdr:to>
    <xdr:pic>
      <xdr:nvPicPr>
        <xdr:cNvPr id="21100" name="Picture 2">
          <a:extLst>
            <a:ext uri="{FF2B5EF4-FFF2-40B4-BE49-F238E27FC236}">
              <a16:creationId xmlns:a16="http://schemas.microsoft.com/office/drawing/2014/main" id="{00000000-0008-0000-0500-00006C5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1524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9525</xdr:rowOff>
    </xdr:from>
    <xdr:to>
      <xdr:col>3</xdr:col>
      <xdr:colOff>474303</xdr:colOff>
      <xdr:row>2</xdr:row>
      <xdr:rowOff>123825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179070</xdr:colOff>
      <xdr:row>11</xdr:row>
      <xdr:rowOff>266700</xdr:rowOff>
    </xdr:from>
    <xdr:to>
      <xdr:col>5</xdr:col>
      <xdr:colOff>2905076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2977515</xdr:colOff>
      <xdr:row>11</xdr:row>
      <xdr:rowOff>266700</xdr:rowOff>
    </xdr:from>
    <xdr:to>
      <xdr:col>6</xdr:col>
      <xdr:colOff>26724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93345</xdr:colOff>
      <xdr:row>11</xdr:row>
      <xdr:rowOff>266700</xdr:rowOff>
    </xdr:from>
    <xdr:to>
      <xdr:col>7</xdr:col>
      <xdr:colOff>908727</xdr:colOff>
      <xdr:row>11</xdr:row>
      <xdr:rowOff>581025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13547</xdr:rowOff>
    </xdr:from>
    <xdr:to>
      <xdr:col>3</xdr:col>
      <xdr:colOff>473228</xdr:colOff>
      <xdr:row>4</xdr:row>
      <xdr:rowOff>159597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718248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548640</xdr:colOff>
      <xdr:row>7</xdr:row>
      <xdr:rowOff>0</xdr:rowOff>
    </xdr:from>
    <xdr:to>
      <xdr:col>3</xdr:col>
      <xdr:colOff>2007789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2074545</xdr:colOff>
      <xdr:row>7</xdr:row>
      <xdr:rowOff>0</xdr:rowOff>
    </xdr:from>
    <xdr:to>
      <xdr:col>5</xdr:col>
      <xdr:colOff>822924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365760</xdr:colOff>
      <xdr:row>4</xdr:row>
      <xdr:rowOff>167640</xdr:rowOff>
    </xdr:to>
    <xdr:pic>
      <xdr:nvPicPr>
        <xdr:cNvPr id="19188" name="Picture 2">
          <a:extLst>
            <a:ext uri="{FF2B5EF4-FFF2-40B4-BE49-F238E27FC236}">
              <a16:creationId xmlns:a16="http://schemas.microsoft.com/office/drawing/2014/main" id="{00000000-0008-0000-0700-0000F4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0"/>
          <a:ext cx="1851660" cy="358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729615</xdr:colOff>
      <xdr:row>4</xdr:row>
      <xdr:rowOff>190500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93345</xdr:rowOff>
    </xdr:from>
    <xdr:to>
      <xdr:col>23</xdr:col>
      <xdr:colOff>2956</xdr:colOff>
      <xdr:row>10</xdr:row>
      <xdr:rowOff>76147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102870</xdr:colOff>
      <xdr:row>8</xdr:row>
      <xdr:rowOff>93345</xdr:rowOff>
    </xdr:from>
    <xdr:to>
      <xdr:col>9</xdr:col>
      <xdr:colOff>76198</xdr:colOff>
      <xdr:row>10</xdr:row>
      <xdr:rowOff>76147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93345</xdr:rowOff>
    </xdr:from>
    <xdr:to>
      <xdr:col>25</xdr:col>
      <xdr:colOff>80433</xdr:colOff>
      <xdr:row>10</xdr:row>
      <xdr:rowOff>76147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137583</xdr:colOff>
      <xdr:row>8</xdr:row>
      <xdr:rowOff>93345</xdr:rowOff>
    </xdr:from>
    <xdr:to>
      <xdr:col>27</xdr:col>
      <xdr:colOff>99483</xdr:colOff>
      <xdr:row>10</xdr:row>
      <xdr:rowOff>76147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272415</xdr:colOff>
      <xdr:row>10</xdr:row>
      <xdr:rowOff>228600</xdr:rowOff>
    </xdr:from>
    <xdr:to>
      <xdr:col>2</xdr:col>
      <xdr:colOff>417249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613410</xdr:colOff>
      <xdr:row>10</xdr:row>
      <xdr:rowOff>238125</xdr:rowOff>
    </xdr:from>
    <xdr:to>
      <xdr:col>2</xdr:col>
      <xdr:colOff>2080159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6" sqref="E6"/>
    </sheetView>
  </sheetViews>
  <sheetFormatPr defaultRowHeight="12.75" x14ac:dyDescent="0.2"/>
  <cols>
    <col min="1" max="1" width="2.85546875" style="177" customWidth="1"/>
    <col min="2" max="2" width="5.7109375" style="177" customWidth="1"/>
    <col min="3" max="3" width="38.5703125" style="177" customWidth="1"/>
    <col min="4" max="4" width="5.7109375" style="177" customWidth="1"/>
    <col min="5" max="5" width="38.5703125" style="177" customWidth="1"/>
    <col min="6" max="6" width="5.7109375" style="177" customWidth="1"/>
    <col min="7" max="7" width="38.5703125" style="177" customWidth="1"/>
    <col min="8" max="8" width="5.7109375" style="177" customWidth="1"/>
    <col min="9" max="9" width="2.85546875" style="177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529"/>
      <c r="B1" s="529"/>
      <c r="C1" s="529"/>
      <c r="D1" s="529"/>
      <c r="E1" s="529"/>
      <c r="F1" s="529"/>
      <c r="G1" s="529"/>
      <c r="H1" s="529"/>
      <c r="I1" s="529"/>
      <c r="J1" t="s">
        <v>0</v>
      </c>
    </row>
    <row r="2" spans="1:15" ht="22.5" customHeight="1" x14ac:dyDescent="0.2">
      <c r="A2" s="529"/>
      <c r="B2" s="531"/>
      <c r="C2" s="531"/>
      <c r="D2" s="531"/>
      <c r="E2" s="670" t="str">
        <f>CHOOSE(MATCH(Objeto,{"PM","PO"}),"PLANILHA MÚLTIPLA ","PLANILHA ORÇAMENTÁRIA ")&amp; Versao</f>
        <v>PLANILHA MÚLTIPLA v3.0.6</v>
      </c>
      <c r="F2" s="670"/>
      <c r="G2" s="670"/>
      <c r="H2" s="533"/>
      <c r="I2" s="531"/>
      <c r="J2" t="s">
        <v>438</v>
      </c>
    </row>
    <row r="3" spans="1:15" ht="22.5" customHeight="1" x14ac:dyDescent="0.2">
      <c r="A3" s="529"/>
      <c r="B3" s="531"/>
      <c r="C3" s="531"/>
      <c r="D3" s="531"/>
      <c r="E3" s="670"/>
      <c r="F3" s="670"/>
      <c r="G3" s="670"/>
      <c r="H3" s="533"/>
      <c r="I3" s="531"/>
      <c r="O3" s="540">
        <v>1</v>
      </c>
    </row>
    <row r="4" spans="1:15" ht="17.100000000000001" customHeight="1" x14ac:dyDescent="0.2">
      <c r="A4" s="529"/>
      <c r="B4" s="531"/>
      <c r="C4" s="531"/>
      <c r="D4" s="531"/>
      <c r="E4" s="531"/>
      <c r="F4" s="532"/>
      <c r="G4" s="533"/>
      <c r="H4" s="533"/>
      <c r="I4" s="531"/>
      <c r="O4" s="540">
        <v>1</v>
      </c>
    </row>
    <row r="5" spans="1:15" ht="17.100000000000001" customHeight="1" thickBot="1" x14ac:dyDescent="0.25">
      <c r="A5" s="529"/>
      <c r="B5" s="531"/>
      <c r="C5" s="531"/>
      <c r="D5" s="531"/>
      <c r="E5" s="531"/>
      <c r="F5" s="532"/>
      <c r="G5" s="533"/>
      <c r="H5" s="533"/>
      <c r="I5" s="531"/>
      <c r="J5" s="559" t="s">
        <v>407</v>
      </c>
    </row>
    <row r="6" spans="1:15" ht="21" customHeight="1" thickBot="1" x14ac:dyDescent="0.25">
      <c r="A6" s="529"/>
      <c r="B6" s="534"/>
      <c r="C6" s="534"/>
      <c r="D6" s="534"/>
      <c r="E6" s="536" t="s">
        <v>400</v>
      </c>
      <c r="F6" s="535"/>
      <c r="G6" s="536" t="s">
        <v>401</v>
      </c>
      <c r="H6" s="534"/>
      <c r="I6" s="529"/>
      <c r="J6" s="559" t="s">
        <v>1</v>
      </c>
    </row>
    <row r="7" spans="1:15" x14ac:dyDescent="0.2">
      <c r="A7" s="529"/>
      <c r="B7" s="529"/>
      <c r="C7" s="529"/>
      <c r="D7" s="529"/>
      <c r="E7" s="529"/>
      <c r="F7" s="529"/>
      <c r="G7" s="529"/>
      <c r="H7" s="529"/>
      <c r="I7" s="529"/>
      <c r="J7" s="559" t="s">
        <v>364</v>
      </c>
      <c r="K7" s="548"/>
      <c r="L7" s="549"/>
      <c r="M7" s="549"/>
      <c r="N7" s="550"/>
    </row>
    <row r="8" spans="1:15" ht="21" customHeight="1" x14ac:dyDescent="0.2">
      <c r="A8" s="531"/>
      <c r="B8" s="669" t="str">
        <f>IF($O$3&lt;&gt;2,"DOCUMENTAÇÃO DA PROPOSTA","PROPOSTA: Para visualizar/preencher esta seção, altere o TIPO DE ORÇAMENTO para 'Proposto'")</f>
        <v>DOCUMENTAÇÃO DA PROPOSTA</v>
      </c>
      <c r="C8" s="669"/>
      <c r="D8" s="669"/>
      <c r="E8" s="669"/>
      <c r="F8" s="669"/>
      <c r="G8" s="669"/>
      <c r="H8" s="669"/>
      <c r="I8" s="529"/>
      <c r="J8" s="559" t="s">
        <v>4</v>
      </c>
      <c r="K8" s="551"/>
      <c r="L8" s="552" t="s">
        <v>402</v>
      </c>
      <c r="M8" s="552"/>
      <c r="N8" s="553"/>
    </row>
    <row r="9" spans="1:15" ht="13.5" thickBot="1" x14ac:dyDescent="0.25">
      <c r="A9" s="529"/>
      <c r="B9" s="529"/>
      <c r="C9" s="529"/>
      <c r="D9" s="529"/>
      <c r="E9" s="529"/>
      <c r="F9" s="529"/>
      <c r="G9" s="529"/>
      <c r="H9" s="529"/>
      <c r="I9" s="529"/>
      <c r="K9" s="551"/>
      <c r="L9" s="101" t="s">
        <v>405</v>
      </c>
      <c r="M9" s="101"/>
      <c r="N9" s="553"/>
    </row>
    <row r="10" spans="1:15" ht="21" customHeight="1" thickBot="1" x14ac:dyDescent="0.25">
      <c r="A10" s="529"/>
      <c r="B10" s="529"/>
      <c r="C10" s="539" t="str">
        <f>IF(TIPOORCAMENTO&lt;&gt;"Proposto","","                    BDI                    ")</f>
        <v xml:space="preserve">                    BDI                    </v>
      </c>
      <c r="D10" s="530"/>
      <c r="E10" s="539" t="str">
        <f>IF(TIPOORCAMENTO&lt;&gt;"Proposto","","             ORÇAMENTO             ")</f>
        <v xml:space="preserve">             ORÇAMENTO             </v>
      </c>
      <c r="F10" s="530"/>
      <c r="G10" s="538" t="str">
        <f>IF(TIPOORCAMENTO&lt;&gt;"Proposto","","MEMÓRIA DE CÁLCULO / PLQ")</f>
        <v>MEMÓRIA DE CÁLCULO / PLQ</v>
      </c>
      <c r="H10" s="529"/>
      <c r="I10" s="529"/>
      <c r="K10" s="551"/>
      <c r="L10" s="6"/>
      <c r="M10" s="4"/>
      <c r="N10" s="554" t="s">
        <v>2</v>
      </c>
    </row>
    <row r="11" spans="1:15" ht="13.5" thickBot="1" x14ac:dyDescent="0.25">
      <c r="A11" s="529"/>
      <c r="B11" s="529"/>
      <c r="C11" s="530"/>
      <c r="D11" s="530"/>
      <c r="E11" s="530"/>
      <c r="F11" s="530"/>
      <c r="G11" s="530"/>
      <c r="H11" s="529"/>
      <c r="I11" s="529"/>
      <c r="K11" s="551"/>
      <c r="L11" s="3"/>
      <c r="M11" s="3"/>
      <c r="N11" s="555"/>
    </row>
    <row r="12" spans="1:15" ht="21" customHeight="1" thickBot="1" x14ac:dyDescent="0.25">
      <c r="A12" s="529"/>
      <c r="B12" s="529"/>
      <c r="C12" s="539" t="str">
        <f>IF(TIPOORCAMENTO&lt;&gt;"Proposto","","                    QCI                    ")</f>
        <v xml:space="preserve">                    QCI                    </v>
      </c>
      <c r="D12" s="530"/>
      <c r="E12" s="537" t="str">
        <f>IF(TIPOORCAMENTO&lt;&gt;"Proposto","","CRONOGRAMA FÍSICO-FINANCEIRO")</f>
        <v>CRONOGRAMA FÍSICO-FINANCEIRO</v>
      </c>
      <c r="F12" s="530"/>
      <c r="G12" s="530"/>
      <c r="H12" s="529"/>
      <c r="I12" s="529"/>
      <c r="K12" s="551"/>
      <c r="L12" s="7"/>
      <c r="M12" s="4"/>
      <c r="N12" s="554" t="s">
        <v>3</v>
      </c>
    </row>
    <row r="13" spans="1:15" x14ac:dyDescent="0.2">
      <c r="A13" s="529"/>
      <c r="B13" s="529"/>
      <c r="C13" s="529"/>
      <c r="D13" s="529"/>
      <c r="E13" s="529"/>
      <c r="F13" s="529"/>
      <c r="G13" s="529"/>
      <c r="H13" s="529"/>
      <c r="I13" s="529"/>
      <c r="K13" s="551"/>
      <c r="L13" s="101"/>
      <c r="M13" s="101"/>
      <c r="N13" s="553"/>
    </row>
    <row r="14" spans="1:15" x14ac:dyDescent="0.2">
      <c r="A14" s="529"/>
      <c r="B14" s="529"/>
      <c r="C14" s="529" t="str">
        <f ca="1">IF(TIPOORCAMENTO&lt;&gt;"Proposto","","Obs: Composições e Cotações devem ser preenchidas diretamente no arquivo Referência "&amp;IF(ISBLANK(Import.DataBase),"mm-aaaa",TEXT(Import.DataBase,"mm-aaaa"))&amp;".xlsm.")</f>
        <v>Obs: Composições e Cotações devem ser preenchidas diretamente no arquivo Referência 12-2023.xlsm.</v>
      </c>
      <c r="D14" s="529"/>
      <c r="E14" s="529"/>
      <c r="F14" s="529"/>
      <c r="G14" s="529"/>
      <c r="H14" s="529"/>
      <c r="I14" s="529"/>
      <c r="K14" s="551"/>
      <c r="L14" s="101"/>
      <c r="M14" s="101"/>
      <c r="N14" s="553"/>
    </row>
    <row r="15" spans="1:15" x14ac:dyDescent="0.2">
      <c r="A15" s="529"/>
      <c r="B15" s="529"/>
      <c r="C15" s="529"/>
      <c r="D15" s="529"/>
      <c r="E15" s="529"/>
      <c r="F15" s="529"/>
      <c r="G15" s="529"/>
      <c r="H15" s="529"/>
      <c r="I15" s="529"/>
      <c r="K15" s="551"/>
      <c r="L15" s="101" t="s">
        <v>406</v>
      </c>
      <c r="M15" s="101"/>
      <c r="N15" s="553"/>
    </row>
    <row r="16" spans="1:15" ht="21" customHeight="1" x14ac:dyDescent="0.2">
      <c r="A16" s="529"/>
      <c r="B16" s="669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669"/>
      <c r="D16" s="669"/>
      <c r="E16" s="669"/>
      <c r="F16" s="669"/>
      <c r="G16" s="669"/>
      <c r="H16" s="669"/>
      <c r="I16" s="529"/>
      <c r="K16" s="551"/>
      <c r="L16" s="546"/>
      <c r="M16" s="4"/>
      <c r="N16" s="554" t="s">
        <v>403</v>
      </c>
    </row>
    <row r="17" spans="1:14" ht="13.5" thickBot="1" x14ac:dyDescent="0.25">
      <c r="A17" s="529"/>
      <c r="B17" s="529"/>
      <c r="C17" s="529"/>
      <c r="D17" s="529"/>
      <c r="E17" s="529"/>
      <c r="F17" s="529"/>
      <c r="G17" s="529"/>
      <c r="H17" s="529"/>
      <c r="I17" s="529"/>
      <c r="K17" s="551"/>
      <c r="L17" s="3"/>
      <c r="M17" s="3"/>
      <c r="N17" s="555"/>
    </row>
    <row r="18" spans="1:14" ht="21" customHeight="1" thickBot="1" x14ac:dyDescent="0.25">
      <c r="A18" s="529"/>
      <c r="B18" s="529"/>
      <c r="C18" s="542" t="str">
        <f>IF(TIPOORCAMENTO&lt;&gt;"Licitado","","             ORÇAMENTO             ")</f>
        <v/>
      </c>
      <c r="D18" s="530"/>
      <c r="E18" s="542" t="str">
        <f>IF(TIPOORCAMENTO&lt;&gt;"Licitado","","                    QCI                    ")</f>
        <v/>
      </c>
      <c r="F18" s="530"/>
      <c r="G18" s="541" t="str">
        <f>IF(TIPOORCAMENTO&lt;&gt;"Licitado","","CRONOGRAMA FÍSICO-FINANCEIRO")</f>
        <v/>
      </c>
      <c r="H18" s="529"/>
      <c r="I18" s="529"/>
      <c r="K18" s="551"/>
      <c r="L18" s="547"/>
      <c r="M18" s="4"/>
      <c r="N18" s="554" t="s">
        <v>404</v>
      </c>
    </row>
    <row r="19" spans="1:14" x14ac:dyDescent="0.2">
      <c r="A19" s="529"/>
      <c r="B19" s="529"/>
      <c r="C19" s="529"/>
      <c r="D19" s="529"/>
      <c r="E19" s="529"/>
      <c r="F19" s="529"/>
      <c r="G19" s="529"/>
      <c r="H19" s="529"/>
      <c r="I19" s="529"/>
      <c r="K19" s="556"/>
      <c r="L19" s="557"/>
      <c r="M19" s="557"/>
      <c r="N19" s="558"/>
    </row>
    <row r="20" spans="1:14" ht="21" customHeight="1" x14ac:dyDescent="0.2">
      <c r="A20" s="531"/>
      <c r="B20" s="669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669"/>
      <c r="D20" s="669"/>
      <c r="E20" s="669"/>
      <c r="F20" s="669"/>
      <c r="G20" s="669"/>
      <c r="H20" s="669"/>
      <c r="I20" s="529"/>
    </row>
    <row r="21" spans="1:14" ht="13.5" thickBot="1" x14ac:dyDescent="0.25">
      <c r="A21" s="529"/>
      <c r="B21" s="529"/>
      <c r="C21" s="529"/>
      <c r="D21" s="529"/>
      <c r="E21" s="529"/>
      <c r="F21" s="529"/>
      <c r="G21" s="529"/>
      <c r="H21" s="529"/>
      <c r="I21" s="529"/>
    </row>
    <row r="22" spans="1:14" ht="21" customHeight="1" thickBot="1" x14ac:dyDescent="0.25">
      <c r="A22" s="529"/>
      <c r="B22" s="529"/>
      <c r="C22" s="543" t="str">
        <f>IF(OR(TIPOORCAMENTO&lt;&gt;"Licitado",ACOMPANHAMENTO&lt;&gt;"PLE"),"","PLAN. DE LEVANT. DE EVENTOS - PLE")</f>
        <v/>
      </c>
      <c r="D22" s="530"/>
      <c r="E22" s="545" t="str">
        <f>IF(TIPOORCAMENTO&lt;&gt;"Licitado","","                    RRE                    ")</f>
        <v/>
      </c>
      <c r="F22" s="530"/>
      <c r="G22" s="544" t="str">
        <f>IF(OR(TIPOORCAMENTO&lt;&gt;"Licitado",ACOMPANHAMENTO&lt;&gt;"BM"),"","  BOLETIM DE MEDIÇÃO - BM  ")</f>
        <v/>
      </c>
      <c r="H22" s="529"/>
      <c r="I22" s="529"/>
    </row>
    <row r="23" spans="1:14" ht="13.5" thickBot="1" x14ac:dyDescent="0.25">
      <c r="A23" s="529"/>
      <c r="B23" s="529"/>
      <c r="C23" s="530"/>
      <c r="D23" s="530"/>
      <c r="E23" s="530"/>
      <c r="F23" s="530"/>
      <c r="G23" s="530"/>
      <c r="H23" s="529"/>
      <c r="I23" s="529"/>
    </row>
    <row r="24" spans="1:14" ht="21" customHeight="1" thickBot="1" x14ac:dyDescent="0.25">
      <c r="A24" s="529"/>
      <c r="B24" s="529"/>
      <c r="C24" s="530"/>
      <c r="D24" s="530"/>
      <c r="E24" s="543" t="str">
        <f>IF(TIPOORCAMENTO&lt;&gt;"Licitado","","OF. DE SOLICITAÇÃO DE DESBLOQUEIO")</f>
        <v/>
      </c>
      <c r="F24" s="530"/>
      <c r="G24" s="530"/>
      <c r="H24" s="529"/>
      <c r="I24" s="529"/>
    </row>
    <row r="25" spans="1:14" x14ac:dyDescent="0.2">
      <c r="A25" s="529"/>
      <c r="B25" s="529"/>
      <c r="C25" s="529"/>
      <c r="D25" s="529"/>
      <c r="E25" s="529"/>
      <c r="F25" s="529"/>
      <c r="G25" s="529"/>
      <c r="H25" s="529"/>
      <c r="I25" s="529"/>
    </row>
  </sheetData>
  <sheetProtection algorithmName="SHA-512" hashValue="ZjipzJCUXfwYqXUF6x0NfqaPBWuvxOmEo4vRftge9kCbaxrpLe9+32CGduu1xfYyUQMng6kGpu9qAuXFc1/wbg==" saltValue="FeCEYnS0C/1FDaKUcwwHFQ==" spinCount="100000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361" priority="70" stopIfTrue="1">
      <formula>TIPOORCAMENTO="Licitado"</formula>
    </cfRule>
  </conditionalFormatting>
  <conditionalFormatting sqref="C18:G18 E22:E24">
    <cfRule type="expression" dxfId="360" priority="71" stopIfTrue="1">
      <formula>TIPOORCAMENTO&lt;&gt;"Licitado"</formula>
    </cfRule>
  </conditionalFormatting>
  <conditionalFormatting sqref="C22">
    <cfRule type="expression" dxfId="359" priority="73" stopIfTrue="1">
      <formula>OR(TIPOORCAMENTO&lt;&gt;"Licitado",ACOMPANHAMENTO&lt;&gt;"PLE")</formula>
    </cfRule>
  </conditionalFormatting>
  <conditionalFormatting sqref="G22">
    <cfRule type="expression" dxfId="358" priority="74" stopIfTrue="1">
      <formula>OR(TIPOORCAMENTO&lt;&gt;"Licitado",ACOMPANHAMENTO&lt;&gt;"BM")</formula>
    </cfRule>
  </conditionalFormatting>
  <conditionalFormatting sqref="B16:H16 B20:H20">
    <cfRule type="expression" dxfId="357" priority="599" stopIfTrue="1">
      <formula>$O$3&lt;&gt;2</formula>
    </cfRule>
  </conditionalFormatting>
  <conditionalFormatting sqref="B8:H8">
    <cfRule type="expression" dxfId="356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&amp;LPMv3.0.6&amp;R&amp;P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1362075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1485900</xdr:colOff>
                    <xdr:row>4</xdr:row>
                    <xdr:rowOff>161925</xdr:rowOff>
                  </from>
                  <to>
                    <xdr:col>2</xdr:col>
                    <xdr:colOff>2419350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1266825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1114425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9"/>
  <sheetViews>
    <sheetView showGridLines="0" zoomScale="90" zoomScaleNormal="90" zoomScaleSheetLayoutView="100" workbookViewId="0">
      <pane xSplit="4" ySplit="13" topLeftCell="E14" activePane="bottomRight" state="frozen"/>
      <selection pane="topRight" activeCell="E1" sqref="E1"/>
      <selection pane="bottomLeft" activeCell="A13" sqref="A13"/>
      <selection pane="bottomRight" activeCell="A23" sqref="A23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9" t="e">
        <f ca="1">IF(AUTOEVENTO="Manual",IF(OFFSET(EVENTOS!$F$14,PLE!$B1,0)&gt;0,"F",""),IF(PLE!B1&lt;=MAX(CÁLCULO!$M$15:$M$58),"F",""))</f>
        <v>#REF!</v>
      </c>
      <c r="B1" s="327" t="e">
        <f ca="1">OFFSET(B1,-1,0)+1</f>
        <v>#REF!</v>
      </c>
      <c r="C1" s="755" t="e">
        <f ca="1">IF(AUTOEVENTO="Manual",IF($B1&lt;&gt;1,OFFSET(EVENTOS!$D$14,$B1,0),0),IF(B1&lt;=MAX(CÁLCULO!$M$15:$M$58),VLOOKUP($B1,CÁLCULO!$M$15:$N$58,2,FALSE),0))</f>
        <v>#REF!</v>
      </c>
      <c r="D1" s="755"/>
      <c r="F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</row>
    <row r="2" spans="1:33" hidden="1" x14ac:dyDescent="0.2">
      <c r="A2" s="9"/>
      <c r="B2" s="609"/>
      <c r="C2" s="610"/>
      <c r="D2" s="610"/>
      <c r="F2" s="611"/>
    </row>
    <row r="3" spans="1:33" ht="15.75" x14ac:dyDescent="0.25">
      <c r="H3" s="264" t="s">
        <v>293</v>
      </c>
      <c r="AD3" s="698" t="s">
        <v>140</v>
      </c>
      <c r="AE3" s="698"/>
      <c r="AF3" s="698"/>
    </row>
    <row r="4" spans="1:33" ht="15.75" x14ac:dyDescent="0.2">
      <c r="B4" s="103"/>
      <c r="C4" s="103"/>
      <c r="H4" s="107" t="str">
        <f>import.recurso</f>
        <v>OGU</v>
      </c>
      <c r="AD4" s="699" t="s">
        <v>143</v>
      </c>
      <c r="AE4" s="699"/>
      <c r="AF4" s="699"/>
    </row>
    <row r="6" spans="1:33" x14ac:dyDescent="0.2">
      <c r="B6" s="268" t="s">
        <v>146</v>
      </c>
      <c r="C6" s="344"/>
      <c r="D6" s="270" t="s">
        <v>443</v>
      </c>
      <c r="E6" s="60"/>
      <c r="H6" s="271" t="s">
        <v>272</v>
      </c>
      <c r="I6" s="265"/>
      <c r="J6" s="265"/>
      <c r="K6" s="265"/>
      <c r="L6" s="266"/>
      <c r="M6" s="266"/>
      <c r="N6" s="345"/>
      <c r="O6" s="268" t="s">
        <v>273</v>
      </c>
      <c r="P6" s="272"/>
      <c r="Q6" s="101"/>
      <c r="R6" s="265"/>
      <c r="S6" s="265"/>
      <c r="T6" s="265"/>
      <c r="U6" s="269"/>
      <c r="V6" s="268" t="str">
        <f>IF(TIPOORCAMENTO="Licitado","NOME DA EMPRESA","DESCRIÇÃO DO LOTE")</f>
        <v>DESCRIÇÃO DO LOTE</v>
      </c>
      <c r="W6" s="265"/>
      <c r="X6" s="265"/>
      <c r="Y6" s="265"/>
      <c r="Z6" s="101"/>
      <c r="AA6" s="101"/>
      <c r="AB6" s="101"/>
      <c r="AC6" s="101"/>
      <c r="AD6" s="60"/>
      <c r="AE6" s="756" t="str">
        <f>IF(TIPOORCAMENTO="Licitado","Nº CTEF","")</f>
        <v/>
      </c>
      <c r="AF6" s="756"/>
    </row>
    <row r="7" spans="1:33" x14ac:dyDescent="0.2">
      <c r="B7" s="731" t="str">
        <f>Import.CR</f>
        <v>01090614-71</v>
      </c>
      <c r="C7" s="731"/>
      <c r="D7" s="274" t="str">
        <f>Import.TransfereGOV</f>
        <v>951453</v>
      </c>
      <c r="E7" s="55"/>
      <c r="H7" s="730" t="str">
        <f>Import.Proponente</f>
        <v>PREFEITURA MUNICIPAL DE SÃO FRANCISCO-MG</v>
      </c>
      <c r="I7" s="730"/>
      <c r="J7" s="730"/>
      <c r="K7" s="730"/>
      <c r="L7" s="730"/>
      <c r="M7" s="730"/>
      <c r="N7" s="730"/>
      <c r="O7" s="731" t="str">
        <f>Import.Apelido</f>
        <v xml:space="preserve">PAVIMENTAÇÃO ASFALTICA EM CBUQ DE DIVERSAS VIAS DO BAIRRO FUNCIONÁRIOS NO  MUNICIPIO DE SÃO FRANCISCO-MG </v>
      </c>
      <c r="P7" s="731"/>
      <c r="Q7" s="731"/>
      <c r="R7" s="731"/>
      <c r="S7" s="731"/>
      <c r="T7" s="731"/>
      <c r="U7" s="731"/>
      <c r="V7" s="731" t="str">
        <f>IF(TIPOORCAMENTO="Licitado",Import.empresa,Import.DescLote)</f>
        <v xml:space="preserve">PAVIMENTAÇÃO ASFALTICA EM CBUQ DE DIVERSAS VIAS DO BAIRRO FUNCIONÁRIOS NO  MUNICIPIO DE SÃO FRANCISCO-MG  </v>
      </c>
      <c r="W7" s="731"/>
      <c r="X7" s="731"/>
      <c r="Y7" s="731"/>
      <c r="Z7" s="731"/>
      <c r="AA7" s="731"/>
      <c r="AB7" s="731"/>
      <c r="AC7" s="731"/>
      <c r="AD7" s="731"/>
      <c r="AE7" s="760" t="str">
        <f>IF(TIPOORCAMENTO="Licitado",Import.CTEF,"")</f>
        <v/>
      </c>
      <c r="AF7" s="760"/>
      <c r="AG7" s="346"/>
    </row>
    <row r="8" spans="1:33" x14ac:dyDescent="0.2">
      <c r="AG8" s="101"/>
    </row>
    <row r="9" spans="1:33" ht="15.75" x14ac:dyDescent="0.25">
      <c r="A9" s="527">
        <v>0</v>
      </c>
      <c r="B9" s="347"/>
      <c r="C9" s="347"/>
      <c r="I9" s="348" t="s">
        <v>294</v>
      </c>
      <c r="J9" s="758">
        <v>1</v>
      </c>
      <c r="K9" s="758"/>
      <c r="M9" s="348" t="s">
        <v>283</v>
      </c>
      <c r="N9" s="759" t="str">
        <f ca="1">TEXT(IF(PLE.Medicao=1,Import.DataInicioObra,OFFSET($H$27,0,1+(PLE.Medicao-$I$28)*2-2)+1),"dd/mm/aaaa")&amp;" a "&amp;TEXT(OFFSET($H$27,0,1+(PLE.Medicao-$I$28)*2),"dd/mm/aaaa")</f>
        <v>00/01/1900 a 00/01/1900</v>
      </c>
      <c r="O9" s="759"/>
      <c r="P9" s="759"/>
      <c r="Q9" s="759"/>
      <c r="R9" s="759"/>
      <c r="S9" s="759"/>
      <c r="T9" s="759"/>
      <c r="U9" s="349"/>
      <c r="X9" s="348" t="s">
        <v>295</v>
      </c>
      <c r="Y9" s="761" t="e">
        <f ca="1">OFFSET($I$28,1+8*(ROUNDUP(($J$9-0)/((COLUMN($AG$14)-COLUMN($G$14)-1)/25*12),0)-1),ROUNDDOWN((($J$9-0)-OFFSET($I$28,8*(ROUNDUP(($J$9-0)/((COLUMN($AG$14)-COLUMN($G$14)-1)/25*12),0)-1),0))*(2+1/12),0))</f>
        <v>#DIV/0!</v>
      </c>
      <c r="Z9" s="761"/>
      <c r="AD9" s="348" t="s">
        <v>296</v>
      </c>
      <c r="AE9" s="761" t="e">
        <f ca="1">OFFSET($I$28,3+8*(ROUNDUP(($J$9-0)/((COLUMN($AG$14)-COLUMN($G$14)-1)/25*12),0)-1),ROUNDDOWN((($J$9-0)-OFFSET($I$28,8*(ROUNDUP(($J$9-0)/((COLUMN($AG$14)-COLUMN($G$14)-1)/25*12),0)-1),0))*(2+1/12),0))</f>
        <v>#DIV/0!</v>
      </c>
      <c r="AF9" s="761"/>
    </row>
    <row r="11" spans="1:33" ht="65.25" customHeight="1" x14ac:dyDescent="0.2">
      <c r="A11" s="331" t="s">
        <v>290</v>
      </c>
      <c r="C11" s="757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757"/>
      <c r="F11" s="333" t="str">
        <f ca="1">IF(F$12&gt;CÁLCULO.NúmeroDeFrentes,"",OFFSET(CÁLCULO!$P$12,0,F$12))</f>
        <v xml:space="preserve">RUA ALPIDIO CANABRAVA </v>
      </c>
      <c r="H11" s="333" t="str">
        <f ca="1">IF(H$12&gt;CÁLCULO.NúmeroDeFrentes,"",OFFSET(CÁLCULO!$P$12,0,H$12))</f>
        <v xml:space="preserve">RUA ALPIDIO CANABRAVA </v>
      </c>
      <c r="I11" s="333" t="str">
        <f ca="1">IF(I$12&gt;CÁLCULO.NúmeroDeFrentes,"",OFFSET(CÁLCULO!$P$12,0,I$12))</f>
        <v>RUA UM TRECHO 01</v>
      </c>
      <c r="J11" s="333" t="str">
        <f ca="1">IF(J$12&gt;CÁLCULO.NúmeroDeFrentes,"",OFFSET(CÁLCULO!$P$12,0,J$12))</f>
        <v>RUA ARISTEU MACIEL T1</v>
      </c>
      <c r="K11" s="333" t="str">
        <f ca="1">IF(K$12&gt;CÁLCULO.NúmeroDeFrentes,"",OFFSET(CÁLCULO!$P$12,0,K$12))</f>
        <v>RUA D</v>
      </c>
      <c r="L11" s="333" t="str">
        <f ca="1">IF(L$12&gt;CÁLCULO.NúmeroDeFrentes,"",OFFSET(CÁLCULO!$P$12,0,L$12))</f>
        <v>RUA F</v>
      </c>
      <c r="M11" s="333" t="str">
        <f ca="1">IF(M$12&gt;CÁLCULO.NúmeroDeFrentes,"",OFFSET(CÁLCULO!$P$12,0,M$12))</f>
        <v>RUA PADRE NICOLAU</v>
      </c>
      <c r="N11" s="333" t="str">
        <f ca="1">IF(N$12&gt;CÁLCULO.NúmeroDeFrentes,"",OFFSET(CÁLCULO!$P$12,0,N$12))</f>
        <v xml:space="preserve">RUA SEM NOME </v>
      </c>
      <c r="O11" s="333" t="str">
        <f ca="1">IF(O$12&gt;CÁLCULO.NúmeroDeFrentes,"",OFFSET(CÁLCULO!$P$12,0,O$12))</f>
        <v xml:space="preserve">RUA ASTROGILDO RODRIGUES CORDEIRO </v>
      </c>
      <c r="P11" s="333" t="str">
        <f ca="1">IF(P$12&gt;CÁLCULO.NúmeroDeFrentes,"",OFFSET(CÁLCULO!$P$12,0,P$12))</f>
        <v>RUA UM TRECHO 2</v>
      </c>
      <c r="Q11" s="333" t="str">
        <f ca="1">IF(Q$12&gt;CÁLCULO.NúmeroDeFrentes,"",OFFSET(CÁLCULO!$P$12,0,Q$12))</f>
        <v>RUA ARISTEU MACIEL T2</v>
      </c>
      <c r="R11" s="333" t="str">
        <f ca="1">IF(R$12&gt;CÁLCULO.NúmeroDeFrentes,"",OFFSET(CÁLCULO!$P$12,0,R$12))</f>
        <v>RUA DEPUTADO JORGE VARGAS T1</v>
      </c>
      <c r="S11" s="333" t="str">
        <f ca="1">IF(S$12&gt;CÁLCULO.NúmeroDeFrentes,"",OFFSET(CÁLCULO!$P$12,0,S$12))</f>
        <v>RUA DEPUTADO JORGE VARGAS T2</v>
      </c>
      <c r="T11" s="333">
        <f ca="1">IF(T$12&gt;CÁLCULO.NúmeroDeFrentes,"",OFFSET(CÁLCULO!$P$12,0,T$12))</f>
        <v>0</v>
      </c>
      <c r="U11" s="333">
        <f ca="1">IF(U$12&gt;CÁLCULO.NúmeroDeFrentes,"",OFFSET(CÁLCULO!$P$12,0,U$12))</f>
        <v>0</v>
      </c>
      <c r="V11" s="333">
        <f ca="1">IF(V$12&gt;CÁLCULO.NúmeroDeFrentes,"",OFFSET(CÁLCULO!$P$12,0,V$12))</f>
        <v>0</v>
      </c>
      <c r="W11" s="333">
        <f ca="1">IF(W$12&gt;CÁLCULO.NúmeroDeFrentes,"",OFFSET(CÁLCULO!$P$12,0,W$12))</f>
        <v>0</v>
      </c>
      <c r="X11" s="333">
        <f ca="1">IF(X$12&gt;CÁLCULO.NúmeroDeFrentes,"",OFFSET(CÁLCULO!$P$12,0,X$12))</f>
        <v>0</v>
      </c>
      <c r="Y11" s="333">
        <f ca="1">IF(Y$12&gt;CÁLCULO.NúmeroDeFrentes,"",OFFSET(CÁLCULO!$P$12,0,Y$12))</f>
        <v>0</v>
      </c>
      <c r="Z11" s="333" t="str">
        <f ca="1">IF(Z$12&gt;CÁLCULO.NúmeroDeFrentes,"",OFFSET(CÁLCULO!$P$12,0,Z$12))</f>
        <v/>
      </c>
      <c r="AA11" s="333" t="str">
        <f ca="1">IF(AA$12&gt;CÁLCULO.NúmeroDeFrentes,"",OFFSET(CÁLCULO!$P$12,0,AA$12))</f>
        <v/>
      </c>
      <c r="AB11" s="333" t="str">
        <f ca="1">IF(AB$12&gt;CÁLCULO.NúmeroDeFrentes,"",OFFSET(CÁLCULO!$P$12,0,AB$12))</f>
        <v/>
      </c>
      <c r="AC11" s="333" t="str">
        <f ca="1">IF(AC$12&gt;CÁLCULO.NúmeroDeFrentes,"",OFFSET(CÁLCULO!$P$12,0,AC$12))</f>
        <v/>
      </c>
      <c r="AD11" s="333" t="str">
        <f ca="1">IF(AD$12&gt;CÁLCULO.NúmeroDeFrentes,"",OFFSET(CÁLCULO!$P$12,0,AD$12))</f>
        <v/>
      </c>
      <c r="AE11" s="333" t="str">
        <f ca="1">IF(AE$12&gt;CÁLCULO.NúmeroDeFrentes,"",OFFSET(CÁLCULO!$P$12,0,AE$12))</f>
        <v/>
      </c>
      <c r="AF11" s="333" t="str">
        <f ca="1">IF(AF$12&gt;CÁLCULO.NúmeroDeFrentes,"",OFFSET(CÁLCULO!$P$12,0,AF$12))</f>
        <v/>
      </c>
    </row>
    <row r="12" spans="1:33" ht="12.75" customHeight="1" x14ac:dyDescent="0.2">
      <c r="A12" s="136" t="s">
        <v>217</v>
      </c>
      <c r="B12" s="738" t="s">
        <v>266</v>
      </c>
      <c r="C12" s="738" t="s">
        <v>291</v>
      </c>
      <c r="D12" s="738"/>
      <c r="F12" s="334">
        <f ca="1">OFFSET(F12,0,-1)+1</f>
        <v>1</v>
      </c>
      <c r="H12" s="334">
        <f ca="1">OFFSET(H12,0,-1)+1</f>
        <v>1</v>
      </c>
      <c r="I12" s="334">
        <f ca="1">OFFSET(I12,0,-1)+1</f>
        <v>2</v>
      </c>
      <c r="J12" s="334">
        <f t="shared" ref="J12:AF12" ca="1" si="0">OFFSET(J12,0,-1)+1</f>
        <v>3</v>
      </c>
      <c r="K12" s="334">
        <f t="shared" ca="1" si="0"/>
        <v>4</v>
      </c>
      <c r="L12" s="334">
        <f t="shared" ca="1" si="0"/>
        <v>5</v>
      </c>
      <c r="M12" s="334">
        <f t="shared" ca="1" si="0"/>
        <v>6</v>
      </c>
      <c r="N12" s="334">
        <f t="shared" ca="1" si="0"/>
        <v>7</v>
      </c>
      <c r="O12" s="334">
        <f t="shared" ca="1" si="0"/>
        <v>8</v>
      </c>
      <c r="P12" s="334">
        <f t="shared" ca="1" si="0"/>
        <v>9</v>
      </c>
      <c r="Q12" s="334">
        <f t="shared" ca="1" si="0"/>
        <v>10</v>
      </c>
      <c r="R12" s="334">
        <f t="shared" ca="1" si="0"/>
        <v>11</v>
      </c>
      <c r="S12" s="334">
        <f t="shared" ca="1" si="0"/>
        <v>12</v>
      </c>
      <c r="T12" s="334">
        <f t="shared" ca="1" si="0"/>
        <v>13</v>
      </c>
      <c r="U12" s="334">
        <f t="shared" ca="1" si="0"/>
        <v>14</v>
      </c>
      <c r="V12" s="334">
        <f t="shared" ca="1" si="0"/>
        <v>15</v>
      </c>
      <c r="W12" s="334">
        <f t="shared" ca="1" si="0"/>
        <v>16</v>
      </c>
      <c r="X12" s="334">
        <f t="shared" ca="1" si="0"/>
        <v>17</v>
      </c>
      <c r="Y12" s="334">
        <f t="shared" ca="1" si="0"/>
        <v>18</v>
      </c>
      <c r="Z12" s="334">
        <f t="shared" ca="1" si="0"/>
        <v>19</v>
      </c>
      <c r="AA12" s="334">
        <f t="shared" ca="1" si="0"/>
        <v>20</v>
      </c>
      <c r="AB12" s="334">
        <f t="shared" ca="1" si="0"/>
        <v>21</v>
      </c>
      <c r="AC12" s="334">
        <f t="shared" ca="1" si="0"/>
        <v>22</v>
      </c>
      <c r="AD12" s="334">
        <f t="shared" ca="1" si="0"/>
        <v>23</v>
      </c>
      <c r="AE12" s="334">
        <f t="shared" ca="1" si="0"/>
        <v>24</v>
      </c>
      <c r="AF12" s="334">
        <f t="shared" ca="1" si="0"/>
        <v>25</v>
      </c>
    </row>
    <row r="13" spans="1:33" x14ac:dyDescent="0.2">
      <c r="B13" s="738"/>
      <c r="C13" s="738"/>
      <c r="D13" s="738"/>
      <c r="F13" s="336"/>
      <c r="H13" s="336"/>
      <c r="I13" s="335"/>
      <c r="J13" s="335"/>
      <c r="K13" s="335"/>
      <c r="L13" s="335"/>
      <c r="M13" s="335"/>
      <c r="N13" s="335" t="s">
        <v>297</v>
      </c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7"/>
    </row>
    <row r="14" spans="1:33" ht="7.5" customHeight="1" x14ac:dyDescent="0.2">
      <c r="A14" s="9" t="s">
        <v>246</v>
      </c>
    </row>
    <row r="15" spans="1:33" x14ac:dyDescent="0.2">
      <c r="A15" s="9" t="str">
        <f ca="1">IF(AND(AUTOEVENTO="Manual",OFFSET(EVENTOS!$F$14,1,0)&gt;0),"F","")</f>
        <v/>
      </c>
      <c r="B15" s="338">
        <v>1</v>
      </c>
      <c r="C15" s="754" t="s">
        <v>269</v>
      </c>
      <c r="D15" s="754"/>
      <c r="F15" s="341"/>
      <c r="H15" s="341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2"/>
    </row>
    <row r="16" spans="1:33" x14ac:dyDescent="0.2">
      <c r="A16" s="9" t="str">
        <f ca="1">IF(AUTOEVENTO="Manual",IF(OFFSET(EVENTOS!$F$14,PLE!$B16,0)&gt;0,"F",""),IF(PLE!B16&lt;=MAX(CÁLCULO!$M$15:$M$58),"F",""))</f>
        <v>F</v>
      </c>
      <c r="B16" s="327">
        <f t="shared" ref="B16:B22" ca="1" si="1">OFFSET(B16,-1,0)+1</f>
        <v>2</v>
      </c>
      <c r="C16" s="755" t="str">
        <f ca="1">IF(AUTOEVENTO="Manual",IF($B16&lt;&gt;1,OFFSET(EVENTOS!$D$14,$B16,0),0),IF(B16&lt;=MAX(CÁLCULO!$M$15:$M$58),VLOOKUP($B16,CÁLCULO!$M$15:$N$58,2,FALSE),0))</f>
        <v>SERVIÇOS PRELIMINARES</v>
      </c>
      <c r="D16" s="755"/>
      <c r="F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</row>
    <row r="17" spans="1:32" x14ac:dyDescent="0.2">
      <c r="A17" s="9" t="str">
        <f ca="1">IF(AUTOEVENTO="Manual",IF(OFFSET(EVENTOS!$F$14,PLE!$B17,0)&gt;0,"F",""),IF(PLE!B17&lt;=MAX(CÁLCULO!$M$15:$M$58),"F",""))</f>
        <v>F</v>
      </c>
      <c r="B17" s="327">
        <f t="shared" ca="1" si="1"/>
        <v>3</v>
      </c>
      <c r="C17" s="755" t="str">
        <f ca="1">IF(AUTOEVENTO="Manual",IF($B17&lt;&gt;1,OFFSET(EVENTOS!$D$14,$B17,0),0),IF(B17&lt;=MAX(CÁLCULO!$M$15:$M$58),VLOOKUP($B17,CÁLCULO!$M$15:$N$58,2,FALSE),0))</f>
        <v xml:space="preserve">TERRAPLANAGEM </v>
      </c>
      <c r="D17" s="755"/>
      <c r="F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</row>
    <row r="18" spans="1:32" x14ac:dyDescent="0.2">
      <c r="A18" s="9" t="str">
        <f ca="1">IF(AUTOEVENTO="Manual",IF(OFFSET(EVENTOS!$F$14,PLE!$B18,0)&gt;0,"F",""),IF(PLE!B18&lt;=MAX(CÁLCULO!$M$15:$M$58),"F",""))</f>
        <v>F</v>
      </c>
      <c r="B18" s="327">
        <f t="shared" ca="1" si="1"/>
        <v>4</v>
      </c>
      <c r="C18" s="755" t="str">
        <f ca="1">IF(AUTOEVENTO="Manual",IF($B18&lt;&gt;1,OFFSET(EVENTOS!$D$14,$B18,0),0),IF(B18&lt;=MAX(CÁLCULO!$M$15:$M$58),VLOOKUP($B18,CÁLCULO!$M$15:$N$58,2,FALSE),0))</f>
        <v>IMPRIMAÇÃO</v>
      </c>
      <c r="D18" s="755"/>
      <c r="F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</row>
    <row r="19" spans="1:32" x14ac:dyDescent="0.2">
      <c r="A19" s="9" t="str">
        <f ca="1">IF(AUTOEVENTO="Manual",IF(OFFSET(EVENTOS!$F$14,PLE!$B19,0)&gt;0,"F",""),IF(PLE!B19&lt;=MAX(CÁLCULO!$M$15:$M$58),"F",""))</f>
        <v>F</v>
      </c>
      <c r="B19" s="327">
        <f t="shared" ca="1" si="1"/>
        <v>5</v>
      </c>
      <c r="C19" s="755" t="str">
        <f ca="1">IF(AUTOEVENTO="Manual",IF($B19&lt;&gt;1,OFFSET(EVENTOS!$D$14,$B19,0),0),IF(B19&lt;=MAX(CÁLCULO!$M$15:$M$58),VLOOKUP($B19,CÁLCULO!$M$15:$N$58,2,FALSE),0))</f>
        <v>PINTURA DE LIGAÇÃO</v>
      </c>
      <c r="D19" s="755"/>
      <c r="F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</row>
    <row r="20" spans="1:32" x14ac:dyDescent="0.2">
      <c r="A20" s="9" t="str">
        <f ca="1">IF(AUTOEVENTO="Manual",IF(OFFSET(EVENTOS!$F$14,PLE!$B20,0)&gt;0,"F",""),IF(PLE!B20&lt;=MAX(CÁLCULO!$M$15:$M$58),"F",""))</f>
        <v>F</v>
      </c>
      <c r="B20" s="327">
        <f t="shared" ca="1" si="1"/>
        <v>6</v>
      </c>
      <c r="C20" s="755" t="str">
        <f ca="1">IF(AUTOEVENTO="Manual",IF($B20&lt;&gt;1,OFFSET(EVENTOS!$D$14,$B20,0),0),IF(B20&lt;=MAX(CÁLCULO!$M$15:$M$58),VLOOKUP($B20,CÁLCULO!$M$15:$N$58,2,FALSE),0))</f>
        <v xml:space="preserve">PAVIMENTAÇÃO </v>
      </c>
      <c r="D20" s="755"/>
      <c r="F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</row>
    <row r="21" spans="1:32" x14ac:dyDescent="0.2">
      <c r="A21" s="9" t="str">
        <f ca="1">IF(AUTOEVENTO="Manual",IF(OFFSET(EVENTOS!$F$14,PLE!$B21,0)&gt;0,"F",""),IF(PLE!B21&lt;=MAX(CÁLCULO!$M$15:$M$58),"F",""))</f>
        <v>F</v>
      </c>
      <c r="B21" s="327">
        <f t="shared" ca="1" si="1"/>
        <v>7</v>
      </c>
      <c r="C21" s="755" t="str">
        <f ca="1">IF(AUTOEVENTO="Manual",IF($B21&lt;&gt;1,OFFSET(EVENTOS!$D$14,$B21,0),0),IF(B21&lt;=MAX(CÁLCULO!$M$15:$M$58),VLOOKUP($B21,CÁLCULO!$M$15:$N$58,2,FALSE),0))</f>
        <v xml:space="preserve">MEIO-FIO E DRENAGEM </v>
      </c>
      <c r="D21" s="755"/>
      <c r="F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</row>
    <row r="22" spans="1:32" x14ac:dyDescent="0.2">
      <c r="A22" s="9" t="str">
        <f ca="1">IF(AUTOEVENTO="Manual",IF(OFFSET(EVENTOS!$F$14,PLE!$B22,0)&gt;0,"F",""),IF(PLE!B22&lt;=MAX(CÁLCULO!$M$15:$M$58),"F",""))</f>
        <v>F</v>
      </c>
      <c r="B22" s="327">
        <f t="shared" ca="1" si="1"/>
        <v>8</v>
      </c>
      <c r="C22" s="755" t="str">
        <f ca="1">IF(AUTOEVENTO="Manual",IF($B22&lt;&gt;1,OFFSET(EVENTOS!$D$14,$B22,0),0),IF(B22&lt;=MAX(CÁLCULO!$M$15:$M$58),VLOOKUP($B22,CÁLCULO!$M$15:$N$58,2,FALSE),0))</f>
        <v>PASSEIO E SINALIZAÇÃO</v>
      </c>
      <c r="D22" s="755"/>
      <c r="F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</row>
    <row r="23" spans="1:32" x14ac:dyDescent="0.2">
      <c r="A23" s="9" t="str">
        <f ca="1">IF(AUTOEVENTO="Manual",IF(OFFSET(EVENTOS!$F$14,PLE!$B23,0)&gt;0,"F",""),IF(PLE!B23&lt;=MAX(CÁLCULO!$M$15:$M$58),"F",""))</f>
        <v>F</v>
      </c>
      <c r="B23" s="327">
        <f ca="1">OFFSET(B23,-1,0)+1</f>
        <v>9</v>
      </c>
      <c r="C23" s="755" t="str">
        <f ca="1">IF(AUTOEVENTO="Manual",IF($B23&lt;&gt;1,OFFSET(EVENTOS!$D$14,$B23,0),0),IF(B23&lt;=MAX(CÁLCULO!$M$15:$M$58),VLOOKUP($B23,CÁLCULO!$M$15:$N$58,2,FALSE),0))</f>
        <v xml:space="preserve">DRENAGEM </v>
      </c>
      <c r="D23" s="755"/>
      <c r="F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</row>
    <row r="24" spans="1:32" ht="4.5" customHeight="1" x14ac:dyDescent="0.2">
      <c r="A24" s="9" t="s">
        <v>246</v>
      </c>
      <c r="B24" s="563"/>
      <c r="C24" s="594"/>
      <c r="D24" s="595"/>
      <c r="F24" s="350"/>
      <c r="H24" s="563"/>
      <c r="I24" s="594"/>
      <c r="J24" s="594"/>
      <c r="K24" s="594"/>
      <c r="L24" s="594"/>
      <c r="M24" s="594"/>
      <c r="N24" s="594"/>
      <c r="O24" s="594"/>
      <c r="P24" s="594"/>
      <c r="Q24" s="594"/>
      <c r="R24" s="594"/>
      <c r="S24" s="594"/>
      <c r="T24" s="594"/>
      <c r="U24" s="594"/>
      <c r="V24" s="594"/>
      <c r="W24" s="594"/>
      <c r="X24" s="594"/>
      <c r="Y24" s="594"/>
      <c r="Z24" s="594"/>
      <c r="AA24" s="594"/>
      <c r="AB24" s="594"/>
      <c r="AC24" s="594"/>
      <c r="AD24" s="594"/>
      <c r="AE24" s="594"/>
      <c r="AF24" s="595"/>
    </row>
    <row r="25" spans="1:32" x14ac:dyDescent="0.2">
      <c r="A25" s="9" t="s">
        <v>246</v>
      </c>
    </row>
    <row r="26" spans="1:32" x14ac:dyDescent="0.2">
      <c r="A26" s="9" t="s">
        <v>246</v>
      </c>
      <c r="I26" s="753" t="s">
        <v>298</v>
      </c>
      <c r="J26" s="753"/>
      <c r="K26" s="753"/>
      <c r="L26" s="753"/>
      <c r="M26" s="753"/>
      <c r="N26" s="753"/>
      <c r="O26" s="753"/>
      <c r="P26" s="753"/>
      <c r="Q26" s="753"/>
      <c r="R26" s="753"/>
      <c r="S26" s="753"/>
      <c r="T26" s="753"/>
      <c r="U26" s="753"/>
      <c r="V26" s="753"/>
      <c r="W26" s="753"/>
      <c r="X26" s="753"/>
      <c r="Y26" s="753"/>
      <c r="Z26" s="753"/>
      <c r="AA26" s="753"/>
      <c r="AB26" s="753"/>
      <c r="AC26" s="753"/>
      <c r="AD26" s="753"/>
      <c r="AE26" s="753"/>
      <c r="AF26" s="753"/>
    </row>
    <row r="27" spans="1:32" x14ac:dyDescent="0.2">
      <c r="A27" s="9" t="s">
        <v>246</v>
      </c>
      <c r="H27" s="620"/>
      <c r="I27" s="741"/>
      <c r="J27" s="742"/>
      <c r="K27" s="742"/>
      <c r="L27" s="742"/>
      <c r="M27" s="742"/>
      <c r="N27" s="742"/>
      <c r="O27" s="742"/>
      <c r="P27" s="742"/>
      <c r="Q27" s="742"/>
      <c r="R27" s="742"/>
      <c r="S27" s="742"/>
      <c r="T27" s="742"/>
      <c r="U27" s="742"/>
      <c r="V27" s="742"/>
      <c r="W27" s="742"/>
      <c r="X27" s="742"/>
      <c r="Y27" s="742"/>
      <c r="Z27" s="742"/>
      <c r="AA27" s="742"/>
      <c r="AB27" s="742"/>
      <c r="AC27" s="742"/>
      <c r="AD27" s="742"/>
      <c r="AE27" s="742"/>
      <c r="AF27" s="748"/>
    </row>
    <row r="28" spans="1:32" x14ac:dyDescent="0.2">
      <c r="A28" s="9" t="s">
        <v>246</v>
      </c>
      <c r="D28" s="351" t="s">
        <v>299</v>
      </c>
      <c r="I28" s="739">
        <f>IF(PLE.Medicao&lt;=12,1,TRUNC((PLE.Medicao - 2)/11,0) * 11 + 1)</f>
        <v>1</v>
      </c>
      <c r="J28" s="739"/>
      <c r="K28" s="739">
        <f>I28+1</f>
        <v>2</v>
      </c>
      <c r="L28" s="739"/>
      <c r="M28" s="739">
        <f>K28+1</f>
        <v>3</v>
      </c>
      <c r="N28" s="739"/>
      <c r="O28" s="739">
        <f>M28+1</f>
        <v>4</v>
      </c>
      <c r="P28" s="739"/>
      <c r="Q28" s="739">
        <f>O28+1</f>
        <v>5</v>
      </c>
      <c r="R28" s="739"/>
      <c r="S28" s="739">
        <f>Q28+1</f>
        <v>6</v>
      </c>
      <c r="T28" s="739"/>
      <c r="U28" s="739">
        <f>S28+1</f>
        <v>7</v>
      </c>
      <c r="V28" s="739"/>
      <c r="W28" s="739">
        <f>U28+1</f>
        <v>8</v>
      </c>
      <c r="X28" s="739"/>
      <c r="Y28" s="739">
        <f>W28+1</f>
        <v>9</v>
      </c>
      <c r="Z28" s="739"/>
      <c r="AA28" s="739">
        <f>Y28+1</f>
        <v>10</v>
      </c>
      <c r="AB28" s="739"/>
      <c r="AC28" s="739">
        <f>AA28+1</f>
        <v>11</v>
      </c>
      <c r="AD28" s="739"/>
      <c r="AE28" s="739">
        <f>AC28+1</f>
        <v>12</v>
      </c>
      <c r="AF28" s="739"/>
    </row>
    <row r="29" spans="1:32" x14ac:dyDescent="0.2">
      <c r="A29" s="9" t="s">
        <v>246</v>
      </c>
      <c r="D29" s="743" t="s">
        <v>283</v>
      </c>
      <c r="H29" s="352" t="s">
        <v>300</v>
      </c>
      <c r="I29" s="740" t="e">
        <f ca="1">ROUND(I30,2)/ORÇAMENTO!$X$15</f>
        <v>#DIV/0!</v>
      </c>
      <c r="J29" s="740"/>
      <c r="K29" s="745" t="e">
        <f ca="1">ROUND(K30,2)/ORÇAMENTO!$X$15</f>
        <v>#DIV/0!</v>
      </c>
      <c r="L29" s="745"/>
      <c r="M29" s="746" t="e">
        <f ca="1">ROUND(M30,2)/ORÇAMENTO!$X$15</f>
        <v>#DIV/0!</v>
      </c>
      <c r="N29" s="746"/>
      <c r="O29" s="745" t="e">
        <f ca="1">ROUND(O30,2)/ORÇAMENTO!$X$15</f>
        <v>#DIV/0!</v>
      </c>
      <c r="P29" s="745"/>
      <c r="Q29" s="746" t="e">
        <f ca="1">ROUND(Q30,2)/ORÇAMENTO!$X$15</f>
        <v>#DIV/0!</v>
      </c>
      <c r="R29" s="746"/>
      <c r="S29" s="745" t="e">
        <f ca="1">ROUND(S30,2)/ORÇAMENTO!$X$15</f>
        <v>#DIV/0!</v>
      </c>
      <c r="T29" s="745"/>
      <c r="U29" s="746" t="e">
        <f ca="1">ROUND(U30,2)/ORÇAMENTO!$X$15</f>
        <v>#DIV/0!</v>
      </c>
      <c r="V29" s="746"/>
      <c r="W29" s="745" t="e">
        <f ca="1">ROUND(W30,2)/ORÇAMENTO!$X$15</f>
        <v>#DIV/0!</v>
      </c>
      <c r="X29" s="745"/>
      <c r="Y29" s="746" t="e">
        <f ca="1">ROUND(Y30,2)/ORÇAMENTO!$X$15</f>
        <v>#DIV/0!</v>
      </c>
      <c r="Z29" s="746"/>
      <c r="AA29" s="745" t="e">
        <f ca="1">ROUND(AA30,2)/ORÇAMENTO!$X$15</f>
        <v>#DIV/0!</v>
      </c>
      <c r="AB29" s="745"/>
      <c r="AC29" s="746" t="e">
        <f ca="1">ROUND(AC30,2)/ORÇAMENTO!$X$15</f>
        <v>#DIV/0!</v>
      </c>
      <c r="AD29" s="746"/>
      <c r="AE29" s="745" t="e">
        <f ca="1">ROUND(AE30,2)/ORÇAMENTO!$X$15</f>
        <v>#DIV/0!</v>
      </c>
      <c r="AF29" s="745"/>
    </row>
    <row r="30" spans="1:32" x14ac:dyDescent="0.2">
      <c r="A30" s="9" t="s">
        <v>246</v>
      </c>
      <c r="D30" s="743"/>
      <c r="H30" s="353" t="s">
        <v>301</v>
      </c>
      <c r="I30" s="747" t="e">
        <f ca="1">IF(I28=1,I32,ROUND(I32,2)-ROUND(SUMIF(CÁLCULO!$BV$15:$CN$58,"&lt;="&amp;PLE!I28-1,CÁLCULO!$AJ$15:$BB$58)*(1+CÁLCULO.TotalAdmLocal/(ORÇAMENTO!$X$15-CÁLCULO.TotalAdmLocal)),2))</f>
        <v>#DIV/0!</v>
      </c>
      <c r="J30" s="747"/>
      <c r="K30" s="747" t="e">
        <f ca="1">ROUND(K32,2)-ROUND(I32,2)</f>
        <v>#DIV/0!</v>
      </c>
      <c r="L30" s="747"/>
      <c r="M30" s="744" t="e">
        <f ca="1">ROUND(M32,2)-ROUND(K32,2)</f>
        <v>#DIV/0!</v>
      </c>
      <c r="N30" s="744"/>
      <c r="O30" s="747" t="e">
        <f ca="1">ROUND(O32,2)-ROUND(M32,2)</f>
        <v>#DIV/0!</v>
      </c>
      <c r="P30" s="747"/>
      <c r="Q30" s="744" t="e">
        <f ca="1">ROUND(Q32,2)-ROUND(O32,2)</f>
        <v>#DIV/0!</v>
      </c>
      <c r="R30" s="744"/>
      <c r="S30" s="747" t="e">
        <f ca="1">ROUND(S32,2)-ROUND(Q32,2)</f>
        <v>#DIV/0!</v>
      </c>
      <c r="T30" s="747"/>
      <c r="U30" s="744" t="e">
        <f ca="1">ROUND(U32,2)-ROUND(S32,2)</f>
        <v>#DIV/0!</v>
      </c>
      <c r="V30" s="744"/>
      <c r="W30" s="747" t="e">
        <f ca="1">ROUND(W32,2)-ROUND(U32,2)</f>
        <v>#DIV/0!</v>
      </c>
      <c r="X30" s="747"/>
      <c r="Y30" s="744" t="e">
        <f ca="1">ROUND(Y32,2)-ROUND(W32,2)</f>
        <v>#DIV/0!</v>
      </c>
      <c r="Z30" s="744"/>
      <c r="AA30" s="747" t="e">
        <f ca="1">ROUND(AA32,2)-ROUND(Y32,2)</f>
        <v>#DIV/0!</v>
      </c>
      <c r="AB30" s="747"/>
      <c r="AC30" s="744" t="e">
        <f ca="1">ROUND(AC32,2)-ROUND(AA32,2)</f>
        <v>#DIV/0!</v>
      </c>
      <c r="AD30" s="744"/>
      <c r="AE30" s="747" t="e">
        <f ca="1">ROUND(AE32,2)-ROUND(AC32,2)</f>
        <v>#DIV/0!</v>
      </c>
      <c r="AF30" s="747"/>
    </row>
    <row r="31" spans="1:32" x14ac:dyDescent="0.2">
      <c r="A31" s="9" t="s">
        <v>246</v>
      </c>
      <c r="D31" s="743" t="s">
        <v>287</v>
      </c>
      <c r="H31" s="352" t="s">
        <v>300</v>
      </c>
      <c r="I31" s="751" t="e">
        <f ca="1">ROUND(I32,2)/ORÇAMENTO!$X$15</f>
        <v>#DIV/0!</v>
      </c>
      <c r="J31" s="751"/>
      <c r="K31" s="749" t="e">
        <f ca="1">ROUND(K32,2)/ORÇAMENTO!$X$15</f>
        <v>#DIV/0!</v>
      </c>
      <c r="L31" s="749"/>
      <c r="M31" s="750" t="e">
        <f ca="1">ROUND(M32,2)/ORÇAMENTO!$X$15</f>
        <v>#DIV/0!</v>
      </c>
      <c r="N31" s="750"/>
      <c r="O31" s="749" t="e">
        <f ca="1">ROUND(O32,2)/ORÇAMENTO!$X$15</f>
        <v>#DIV/0!</v>
      </c>
      <c r="P31" s="749"/>
      <c r="Q31" s="750" t="e">
        <f ca="1">ROUND(Q32,2)/ORÇAMENTO!$X$15</f>
        <v>#DIV/0!</v>
      </c>
      <c r="R31" s="750"/>
      <c r="S31" s="749" t="e">
        <f ca="1">ROUND(S32,2)/ORÇAMENTO!$X$15</f>
        <v>#DIV/0!</v>
      </c>
      <c r="T31" s="749"/>
      <c r="U31" s="750" t="e">
        <f ca="1">ROUND(U32,2)/ORÇAMENTO!$X$15</f>
        <v>#DIV/0!</v>
      </c>
      <c r="V31" s="750"/>
      <c r="W31" s="749" t="e">
        <f ca="1">ROUND(W32,2)/ORÇAMENTO!$X$15</f>
        <v>#DIV/0!</v>
      </c>
      <c r="X31" s="749"/>
      <c r="Y31" s="750" t="e">
        <f ca="1">ROUND(Y32,2)/ORÇAMENTO!$X$15</f>
        <v>#DIV/0!</v>
      </c>
      <c r="Z31" s="750"/>
      <c r="AA31" s="749" t="e">
        <f ca="1">ROUND(AA32,2)/ORÇAMENTO!$X$15</f>
        <v>#DIV/0!</v>
      </c>
      <c r="AB31" s="749"/>
      <c r="AC31" s="750" t="e">
        <f ca="1">ROUND(AC32,2)/ORÇAMENTO!$X$15</f>
        <v>#DIV/0!</v>
      </c>
      <c r="AD31" s="750"/>
      <c r="AE31" s="749" t="e">
        <f ca="1">ROUND(AE32,2)/ORÇAMENTO!$X$15</f>
        <v>#DIV/0!</v>
      </c>
      <c r="AF31" s="749"/>
    </row>
    <row r="32" spans="1:32" x14ac:dyDescent="0.2">
      <c r="A32" s="9" t="s">
        <v>246</v>
      </c>
      <c r="D32" s="743"/>
      <c r="H32" s="353" t="s">
        <v>301</v>
      </c>
      <c r="I32" s="752" t="e">
        <f ca="1">SUMIF(CÁLCULO!$BV$15:$CN$58,"&lt;="&amp;PLE!I28,CÁLCULO!$AJ$15:$BB$58)*(1+CÁLCULO.TotalAdmLocal/(ORÇAMENTO!$X$15-CÁLCULO.TotalAdmLocal))</f>
        <v>#DIV/0!</v>
      </c>
      <c r="J32" s="752"/>
      <c r="K32" s="747" t="e">
        <f ca="1">SUMIF(CÁLCULO!$BV$15:$CN$58,"&lt;="&amp;PLE!K28,CÁLCULO!$AJ$15:$BB$58)*(1+CÁLCULO.TotalAdmLocal/(ORÇAMENTO!$X$15-CÁLCULO.TotalAdmLocal))</f>
        <v>#DIV/0!</v>
      </c>
      <c r="L32" s="747"/>
      <c r="M32" s="744" t="e">
        <f ca="1">SUMIF(CÁLCULO!$BV$15:$CN$58,"&lt;="&amp;PLE!M28,CÁLCULO!$AJ$15:$BB$58)*(1+CÁLCULO.TotalAdmLocal/(ORÇAMENTO!$X$15-CÁLCULO.TotalAdmLocal))</f>
        <v>#DIV/0!</v>
      </c>
      <c r="N32" s="744"/>
      <c r="O32" s="747" t="e">
        <f ca="1">SUMIF(CÁLCULO!$BV$15:$CN$58,"&lt;="&amp;PLE!O28,CÁLCULO!$AJ$15:$BB$58)*(1+CÁLCULO.TotalAdmLocal/(ORÇAMENTO!$X$15-CÁLCULO.TotalAdmLocal))</f>
        <v>#DIV/0!</v>
      </c>
      <c r="P32" s="747"/>
      <c r="Q32" s="744" t="e">
        <f ca="1">SUMIF(CÁLCULO!$BV$15:$CN$58,"&lt;="&amp;PLE!Q28,CÁLCULO!$AJ$15:$BB$58)*(1+CÁLCULO.TotalAdmLocal/(ORÇAMENTO!$X$15-CÁLCULO.TotalAdmLocal))</f>
        <v>#DIV/0!</v>
      </c>
      <c r="R32" s="744"/>
      <c r="S32" s="747" t="e">
        <f ca="1">SUMIF(CÁLCULO!$BV$15:$CN$58,"&lt;="&amp;PLE!S28,CÁLCULO!$AJ$15:$BB$58)*(1+CÁLCULO.TotalAdmLocal/(ORÇAMENTO!$X$15-CÁLCULO.TotalAdmLocal))</f>
        <v>#DIV/0!</v>
      </c>
      <c r="T32" s="747"/>
      <c r="U32" s="744" t="e">
        <f ca="1">SUMIF(CÁLCULO!$BV$15:$CN$58,"&lt;="&amp;PLE!U28,CÁLCULO!$AJ$15:$BB$58)*(1+CÁLCULO.TotalAdmLocal/(ORÇAMENTO!$X$15-CÁLCULO.TotalAdmLocal))</f>
        <v>#DIV/0!</v>
      </c>
      <c r="V32" s="744"/>
      <c r="W32" s="747" t="e">
        <f ca="1">SUMIF(CÁLCULO!$BV$15:$CN$58,"&lt;="&amp;PLE!W28,CÁLCULO!$AJ$15:$BB$58)*(1+CÁLCULO.TotalAdmLocal/(ORÇAMENTO!$X$15-CÁLCULO.TotalAdmLocal))</f>
        <v>#DIV/0!</v>
      </c>
      <c r="X32" s="747"/>
      <c r="Y32" s="744" t="e">
        <f ca="1">SUMIF(CÁLCULO!$BV$15:$CN$58,"&lt;="&amp;PLE!Y28,CÁLCULO!$AJ$15:$BB$58)*(1+CÁLCULO.TotalAdmLocal/(ORÇAMENTO!$X$15-CÁLCULO.TotalAdmLocal))</f>
        <v>#DIV/0!</v>
      </c>
      <c r="Z32" s="744"/>
      <c r="AA32" s="747" t="e">
        <f ca="1">SUMIF(CÁLCULO!$BV$15:$CN$58,"&lt;="&amp;PLE!AA28,CÁLCULO!$AJ$15:$BB$58)*(1+CÁLCULO.TotalAdmLocal/(ORÇAMENTO!$X$15-CÁLCULO.TotalAdmLocal))</f>
        <v>#DIV/0!</v>
      </c>
      <c r="AB32" s="747"/>
      <c r="AC32" s="744" t="e">
        <f ca="1">SUMIF(CÁLCULO!$BV$15:$CN$58,"&lt;="&amp;PLE!AC28,CÁLCULO!$AJ$15:$BB$58)*(1+CÁLCULO.TotalAdmLocal/(ORÇAMENTO!$X$15-CÁLCULO.TotalAdmLocal))</f>
        <v>#DIV/0!</v>
      </c>
      <c r="AD32" s="744"/>
      <c r="AE32" s="747" t="e">
        <f ca="1">SUMIF(CÁLCULO!$BV$15:$CN$58,"&lt;="&amp;PLE!AE28,CÁLCULO!$AJ$15:$BB$58)*(1+CÁLCULO.TotalAdmLocal/(ORÇAMENTO!$X$15-CÁLCULO.TotalAdmLocal))</f>
        <v>#DIV/0!</v>
      </c>
      <c r="AF32" s="747"/>
    </row>
    <row r="33" spans="1:30" ht="20.25" customHeight="1" x14ac:dyDescent="0.2">
      <c r="A33" s="9" t="s">
        <v>246</v>
      </c>
    </row>
    <row r="34" spans="1:30" ht="15" x14ac:dyDescent="0.2">
      <c r="A34" s="9" t="s">
        <v>246</v>
      </c>
      <c r="B34" s="716" t="str">
        <f>Import.Município</f>
        <v xml:space="preserve">SÃO FRANCISCO </v>
      </c>
      <c r="C34" s="716"/>
      <c r="D34" s="716"/>
      <c r="E34" s="105"/>
      <c r="K34" s="105"/>
      <c r="U34" s="176"/>
      <c r="V34" s="176"/>
      <c r="W34" s="176"/>
      <c r="X34" s="176"/>
      <c r="Y34" s="229"/>
      <c r="Z34" s="229"/>
      <c r="AA34" s="229"/>
      <c r="AB34" s="229"/>
      <c r="AC34" s="229"/>
      <c r="AD34" s="229"/>
    </row>
    <row r="35" spans="1:30" x14ac:dyDescent="0.2">
      <c r="A35" s="9" t="s">
        <v>246</v>
      </c>
      <c r="B35" s="12" t="s">
        <v>188</v>
      </c>
      <c r="C35" s="105"/>
      <c r="D35" s="105"/>
      <c r="E35" s="105"/>
      <c r="K35" s="105"/>
      <c r="U35" s="230" t="s">
        <v>302</v>
      </c>
      <c r="V35" s="105"/>
      <c r="W35" s="105"/>
      <c r="X35" s="105"/>
    </row>
    <row r="36" spans="1:30" x14ac:dyDescent="0.2">
      <c r="A36" s="9" t="s">
        <v>246</v>
      </c>
      <c r="B36" s="105"/>
      <c r="C36" s="105"/>
      <c r="D36" s="105"/>
      <c r="E36" s="105"/>
      <c r="I36" s="97"/>
      <c r="K36" s="105"/>
      <c r="U36" s="95" t="s">
        <v>108</v>
      </c>
      <c r="W36" s="354">
        <f t="array" ref="W36:W39">Import.RespFiscalização</f>
        <v>0</v>
      </c>
      <c r="X36" s="105"/>
    </row>
    <row r="37" spans="1:30" x14ac:dyDescent="0.2">
      <c r="A37" s="9" t="s">
        <v>246</v>
      </c>
      <c r="B37" s="711">
        <f ca="1">DADOS!$F$48</f>
        <v>45737</v>
      </c>
      <c r="C37" s="711"/>
      <c r="D37" s="711"/>
      <c r="E37" s="105"/>
      <c r="I37" s="97"/>
      <c r="K37" s="105"/>
      <c r="U37" s="95" t="s">
        <v>127</v>
      </c>
      <c r="W37" s="354">
        <v>0</v>
      </c>
      <c r="X37" s="105"/>
    </row>
    <row r="38" spans="1:30" x14ac:dyDescent="0.2">
      <c r="A38" s="9" t="s">
        <v>246</v>
      </c>
      <c r="B38" s="178" t="s">
        <v>189</v>
      </c>
      <c r="C38" s="179"/>
      <c r="D38" s="179"/>
      <c r="E38" s="105"/>
      <c r="I38" s="97"/>
      <c r="K38" s="105"/>
      <c r="U38" s="95" t="s">
        <v>109</v>
      </c>
      <c r="W38" s="354">
        <v>0</v>
      </c>
      <c r="X38" s="105"/>
    </row>
    <row r="39" spans="1:30" x14ac:dyDescent="0.2">
      <c r="U39" s="95" t="s">
        <v>110</v>
      </c>
      <c r="W39" s="355">
        <v>0</v>
      </c>
    </row>
  </sheetData>
  <sheetProtection password="BD1F" sheet="1" objects="1" scenarios="1" autoFilter="0"/>
  <autoFilter ref="A13:A38"/>
  <mergeCells count="102">
    <mergeCell ref="C1:D1"/>
    <mergeCell ref="AD3:AF3"/>
    <mergeCell ref="AD4:AF4"/>
    <mergeCell ref="AE6:AF6"/>
    <mergeCell ref="H7:N7"/>
    <mergeCell ref="O7:U7"/>
    <mergeCell ref="C11:D11"/>
    <mergeCell ref="C12:D13"/>
    <mergeCell ref="J9:K9"/>
    <mergeCell ref="N9:T9"/>
    <mergeCell ref="B7:C7"/>
    <mergeCell ref="AE7:AF7"/>
    <mergeCell ref="V7:AD7"/>
    <mergeCell ref="Y9:Z9"/>
    <mergeCell ref="AE9:AF9"/>
    <mergeCell ref="I26:AF26"/>
    <mergeCell ref="B12:B13"/>
    <mergeCell ref="O27:P27"/>
    <mergeCell ref="C15:D15"/>
    <mergeCell ref="C16:D16"/>
    <mergeCell ref="C17:D17"/>
    <mergeCell ref="C20:D20"/>
    <mergeCell ref="C18:D18"/>
    <mergeCell ref="C19:D19"/>
    <mergeCell ref="C21:D21"/>
    <mergeCell ref="C22:D22"/>
    <mergeCell ref="C23:D23"/>
    <mergeCell ref="K32:L32"/>
    <mergeCell ref="K31:L31"/>
    <mergeCell ref="I31:J31"/>
    <mergeCell ref="K30:L30"/>
    <mergeCell ref="I30:J30"/>
    <mergeCell ref="O32:P32"/>
    <mergeCell ref="S31:T31"/>
    <mergeCell ref="B37:D37"/>
    <mergeCell ref="B34:D34"/>
    <mergeCell ref="D31:D32"/>
    <mergeCell ref="M31:N31"/>
    <mergeCell ref="M32:N32"/>
    <mergeCell ref="I32:J32"/>
    <mergeCell ref="O31:P31"/>
    <mergeCell ref="AE32:AF32"/>
    <mergeCell ref="Q32:R32"/>
    <mergeCell ref="Y32:Z32"/>
    <mergeCell ref="AA32:AB32"/>
    <mergeCell ref="O30:P30"/>
    <mergeCell ref="Q30:R30"/>
    <mergeCell ref="AE31:AF31"/>
    <mergeCell ref="Q31:R31"/>
    <mergeCell ref="W30:X30"/>
    <mergeCell ref="S32:T32"/>
    <mergeCell ref="Y30:Z30"/>
    <mergeCell ref="U30:V30"/>
    <mergeCell ref="W32:X32"/>
    <mergeCell ref="W31:X31"/>
    <mergeCell ref="U31:V31"/>
    <mergeCell ref="Y31:Z31"/>
    <mergeCell ref="U32:V32"/>
    <mergeCell ref="AC32:AD32"/>
    <mergeCell ref="AC30:AD30"/>
    <mergeCell ref="AC31:AD31"/>
    <mergeCell ref="AA31:AB31"/>
    <mergeCell ref="AA30:AB30"/>
    <mergeCell ref="S30:T30"/>
    <mergeCell ref="AA29:AB29"/>
    <mergeCell ref="M29:N29"/>
    <mergeCell ref="Y29:Z29"/>
    <mergeCell ref="W29:X29"/>
    <mergeCell ref="U29:V29"/>
    <mergeCell ref="Q29:R29"/>
    <mergeCell ref="S29:T29"/>
    <mergeCell ref="M27:N27"/>
    <mergeCell ref="AE30:AF30"/>
    <mergeCell ref="AC29:AD29"/>
    <mergeCell ref="AE29:AF29"/>
    <mergeCell ref="AA27:AB27"/>
    <mergeCell ref="Y27:Z27"/>
    <mergeCell ref="AE28:AF28"/>
    <mergeCell ref="AC28:AD28"/>
    <mergeCell ref="AA28:AB28"/>
    <mergeCell ref="U28:V28"/>
    <mergeCell ref="Q28:R28"/>
    <mergeCell ref="S28:T28"/>
    <mergeCell ref="U27:V27"/>
    <mergeCell ref="AE27:AF27"/>
    <mergeCell ref="AC27:AD27"/>
    <mergeCell ref="W27:X27"/>
    <mergeCell ref="Y28:Z28"/>
    <mergeCell ref="I28:J28"/>
    <mergeCell ref="I29:J29"/>
    <mergeCell ref="I27:J27"/>
    <mergeCell ref="D29:D30"/>
    <mergeCell ref="K28:L28"/>
    <mergeCell ref="M28:N28"/>
    <mergeCell ref="O28:P28"/>
    <mergeCell ref="W28:X28"/>
    <mergeCell ref="M30:N30"/>
    <mergeCell ref="O29:P29"/>
    <mergeCell ref="K27:L27"/>
    <mergeCell ref="K29:L29"/>
    <mergeCell ref="Q27:R27"/>
    <mergeCell ref="S27:T27"/>
  </mergeCells>
  <phoneticPr fontId="38" type="noConversion"/>
  <conditionalFormatting sqref="F1:F2">
    <cfRule type="expression" dxfId="72" priority="443" stopIfTrue="1">
      <formula>IF(OR(ACOMPANHAMENTO="BM",F$12&gt;CÁLCULO.NúmeroDeFrentes),TRUE,PLE.ValorDoEvento=0)</formula>
    </cfRule>
    <cfRule type="cellIs" dxfId="71" priority="444" stopIfTrue="1" operator="equal">
      <formula>$J$9</formula>
    </cfRule>
  </conditionalFormatting>
  <conditionalFormatting sqref="I29:AF29">
    <cfRule type="expression" dxfId="70" priority="445" stopIfTrue="1">
      <formula>I28=$J$9</formula>
    </cfRule>
  </conditionalFormatting>
  <conditionalFormatting sqref="I30:AF30">
    <cfRule type="expression" dxfId="69" priority="446" stopIfTrue="1">
      <formula>I28=$J$9</formula>
    </cfRule>
  </conditionalFormatting>
  <conditionalFormatting sqref="I31:AF31">
    <cfRule type="expression" dxfId="68" priority="447" stopIfTrue="1">
      <formula>I28=$J$9</formula>
    </cfRule>
  </conditionalFormatting>
  <conditionalFormatting sqref="I32:AF32">
    <cfRule type="expression" dxfId="67" priority="448" stopIfTrue="1">
      <formula>I28=$J$9</formula>
    </cfRule>
  </conditionalFormatting>
  <conditionalFormatting sqref="I28:J28">
    <cfRule type="cellIs" dxfId="66" priority="442" stopIfTrue="1" operator="notEqual">
      <formula>1</formula>
    </cfRule>
  </conditionalFormatting>
  <conditionalFormatting sqref="H1:AF1">
    <cfRule type="expression" dxfId="65" priority="460" stopIfTrue="1">
      <formula>IF(OR(ACOMPANHAMENTO="BM",TIPOORCAMENTO="Proposto",H$12&gt;CÁLCULO.NúmeroDeFrentes),TRUE,PLE.ValorDoEvento=0)</formula>
    </cfRule>
    <cfRule type="cellIs" dxfId="64" priority="461" stopIfTrue="1" operator="equal">
      <formula>$J$9</formula>
    </cfRule>
  </conditionalFormatting>
  <conditionalFormatting sqref="AE6:AE7">
    <cfRule type="expression" dxfId="63" priority="449" stopIfTrue="1">
      <formula>TIPOORCAMENTO&lt;&gt;"Licitado"</formula>
    </cfRule>
  </conditionalFormatting>
  <conditionalFormatting sqref="N9:T9">
    <cfRule type="expression" dxfId="62" priority="450" stopIfTrue="1">
      <formula>COLUMN(N9)&gt;COLUMN($AF$12)</formula>
    </cfRule>
    <cfRule type="expression" dxfId="61" priority="451" stopIfTrue="1">
      <formula>$N$9="DIGITE A DATA DA MEDIÇÃO"</formula>
    </cfRule>
  </conditionalFormatting>
  <conditionalFormatting sqref="I9:M9 U9:AF9">
    <cfRule type="expression" dxfId="60" priority="452" stopIfTrue="1">
      <formula>COLUMN(I9)&gt;COLUMN($AF$12)</formula>
    </cfRule>
  </conditionalFormatting>
  <conditionalFormatting sqref="F16:F22">
    <cfRule type="expression" dxfId="59" priority="25" stopIfTrue="1">
      <formula>IF(OR(ACOMPANHAMENTO="BM",F$12&gt;CÁLCULO.NúmeroDeFrentes),TRUE,PLE.ValorDoEvento=0)</formula>
    </cfRule>
    <cfRule type="cellIs" dxfId="58" priority="26" stopIfTrue="1" operator="equal">
      <formula>$J$9</formula>
    </cfRule>
  </conditionalFormatting>
  <conditionalFormatting sqref="H16:AF22">
    <cfRule type="expression" dxfId="57" priority="27" stopIfTrue="1">
      <formula>IF(OR(ACOMPANHAMENTO="BM",TIPOORCAMENTO="Proposto",H$12&gt;CÁLCULO.NúmeroDeFrentes),TRUE,PLE.ValorDoEvento=0)</formula>
    </cfRule>
    <cfRule type="cellIs" dxfId="56" priority="28" stopIfTrue="1" operator="equal">
      <formula>$J$9</formula>
    </cfRule>
  </conditionalFormatting>
  <conditionalFormatting sqref="F23">
    <cfRule type="expression" dxfId="55" priority="1" stopIfTrue="1">
      <formula>IF(OR(ACOMPANHAMENTO="BM",F$12&gt;CÁLCULO.NúmeroDeFrentes),TRUE,PLE.ValorDoEvento=0)</formula>
    </cfRule>
    <cfRule type="cellIs" dxfId="54" priority="2" stopIfTrue="1" operator="equal">
      <formula>$J$9</formula>
    </cfRule>
  </conditionalFormatting>
  <conditionalFormatting sqref="H23:AF23">
    <cfRule type="expression" dxfId="53" priority="3" stopIfTrue="1">
      <formula>IF(OR(ACOMPANHAMENTO="BM",TIPOORCAMENTO="Proposto",H$12&gt;CÁLCULO.NúmeroDeFrentes),TRUE,PLE.ValorDoEvento=0)</formula>
    </cfRule>
    <cfRule type="cellIs" dxfId="52" priority="4" stopIfTrue="1" operator="equal">
      <formula>$J$9</formula>
    </cfRule>
  </conditionalFormatting>
  <dataValidations count="3">
    <dataValidation type="whole" operator="greaterThan" allowBlank="1" showErrorMessage="1" sqref="F1:F4 I3:AC4 J9:K9 F16:F23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3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abSelected="1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I14" sqref="I14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56" t="s">
        <v>303</v>
      </c>
      <c r="I1" s="10"/>
      <c r="J1" s="10"/>
    </row>
    <row r="2" spans="1:31" x14ac:dyDescent="0.2">
      <c r="Z2" s="128" t="s">
        <v>304</v>
      </c>
      <c r="AA2" s="357" t="s">
        <v>305</v>
      </c>
      <c r="AB2" s="95"/>
    </row>
    <row r="3" spans="1:31" x14ac:dyDescent="0.2">
      <c r="D3" s="694" t="s">
        <v>146</v>
      </c>
      <c r="E3" s="694"/>
      <c r="F3" s="112" t="s">
        <v>443</v>
      </c>
      <c r="G3" s="694" t="s">
        <v>147</v>
      </c>
      <c r="H3" s="694"/>
      <c r="I3" s="694"/>
      <c r="J3" s="767" t="s">
        <v>306</v>
      </c>
      <c r="K3" s="767"/>
      <c r="L3" s="767"/>
      <c r="M3" s="768" t="s">
        <v>307</v>
      </c>
      <c r="N3" s="768"/>
      <c r="O3" s="768"/>
      <c r="Z3" s="132">
        <f ca="1">MAX(Z7:AB7)</f>
        <v>2E-3</v>
      </c>
      <c r="AA3" s="358">
        <f ca="1">IF(OR($O$15=ORÇAMENTO.SumINVMANUAL+QCI.SumINVMANUAL,$O$15=0),0,MIN(MAX(0,($Z$3*$O$15-ORÇAMENTO.SumCPMANUAL-QCI.SumCPMANUAL)/($O$15-ORÇAMENTO.SumINVMANUAL-QCI.SumINVMANUAL)),1))</f>
        <v>0</v>
      </c>
      <c r="AB3" s="120"/>
    </row>
    <row r="4" spans="1:31" x14ac:dyDescent="0.2">
      <c r="D4" s="697" t="str">
        <f>Import.CR</f>
        <v>01090614-71</v>
      </c>
      <c r="E4" s="697"/>
      <c r="F4" s="73" t="str">
        <f>Import.TransfereGOV</f>
        <v>951453</v>
      </c>
      <c r="G4" s="697" t="str">
        <f>Import.Proponente</f>
        <v>PREFEITURA MUNICIPAL DE SÃO FRANCISCO-MG</v>
      </c>
      <c r="H4" s="697"/>
      <c r="I4" s="697"/>
      <c r="J4" s="769" t="str">
        <f>Import.Município</f>
        <v xml:space="preserve">SÃO FRANCISCO </v>
      </c>
      <c r="K4" s="769"/>
      <c r="L4" s="769"/>
      <c r="M4" s="768"/>
      <c r="N4" s="768"/>
      <c r="O4" s="768"/>
      <c r="R4" s="167"/>
      <c r="Z4" s="120"/>
      <c r="AA4" s="120"/>
      <c r="AB4" s="120"/>
    </row>
    <row r="5" spans="1:31" ht="5.0999999999999996" customHeight="1" x14ac:dyDescent="0.2">
      <c r="M5" s="346"/>
      <c r="N5" s="101"/>
      <c r="O5" s="60"/>
      <c r="Z5" s="128"/>
      <c r="AA5" s="16"/>
      <c r="AB5" s="128"/>
    </row>
    <row r="6" spans="1:31" x14ac:dyDescent="0.2">
      <c r="D6" s="694" t="s">
        <v>202</v>
      </c>
      <c r="E6" s="694"/>
      <c r="F6" s="694"/>
      <c r="G6" s="694"/>
      <c r="H6" s="694"/>
      <c r="I6" s="694"/>
      <c r="J6" s="694"/>
      <c r="K6" s="694"/>
      <c r="L6" s="359" t="s">
        <v>210</v>
      </c>
      <c r="M6" s="112" t="str">
        <f>IF(import.recurso="FGTS","FINANCIAMENTO","REPASSE")</f>
        <v>REPASSE</v>
      </c>
      <c r="N6" s="112" t="s">
        <v>308</v>
      </c>
      <c r="O6" s="112" t="s">
        <v>309</v>
      </c>
      <c r="Z6" s="128" t="s">
        <v>310</v>
      </c>
      <c r="AA6" s="16" t="s">
        <v>311</v>
      </c>
      <c r="AB6" s="128" t="s">
        <v>312</v>
      </c>
    </row>
    <row r="7" spans="1:31" ht="12.75" customHeight="1" x14ac:dyDescent="0.2">
      <c r="C7" s="687" t="s">
        <v>209</v>
      </c>
      <c r="D7" s="697" t="str">
        <f>Import.Apelido</f>
        <v xml:space="preserve">PAVIMENTAÇÃO ASFALTICA EM CBUQ DE DIVERSAS VIAS DO BAIRRO FUNCIONÁRIOS NO  MUNICIPIO DE SÃO FRANCISCO-MG </v>
      </c>
      <c r="E7" s="697"/>
      <c r="F7" s="697"/>
      <c r="G7" s="697"/>
      <c r="H7" s="697"/>
      <c r="I7" s="697"/>
      <c r="J7" s="697"/>
      <c r="K7" s="697"/>
      <c r="L7" s="360" t="str">
        <f>import.recurso</f>
        <v>OGU</v>
      </c>
      <c r="M7" s="361">
        <f>Import.Repasse</f>
        <v>4785919</v>
      </c>
      <c r="N7" s="361">
        <f>Import.Contrapartida</f>
        <v>338068.87</v>
      </c>
      <c r="O7" s="361">
        <f>M7+N7</f>
        <v>5123987.87</v>
      </c>
      <c r="Z7" s="132">
        <f>ROUND(Import.CPMinPerc,4)</f>
        <v>2E-3</v>
      </c>
      <c r="AA7" s="132">
        <f ca="1">IF($O$15=0,0,Import.CPMinAbsoluta/$O$15)</f>
        <v>0</v>
      </c>
      <c r="AB7" s="132">
        <f ca="1">IF($O$15=0,0,($O$15-$AB$15-Import.Repasse)/($O$15))</f>
        <v>0</v>
      </c>
    </row>
    <row r="8" spans="1:31" x14ac:dyDescent="0.2">
      <c r="C8" s="687"/>
      <c r="D8" s="120"/>
      <c r="E8" s="120"/>
      <c r="F8" s="362"/>
      <c r="G8" s="120"/>
      <c r="H8" s="120"/>
      <c r="I8" s="120"/>
      <c r="J8" s="120"/>
      <c r="K8" s="120"/>
      <c r="L8" s="120"/>
      <c r="M8" s="120"/>
      <c r="N8" s="120"/>
      <c r="O8" s="120"/>
    </row>
    <row r="9" spans="1:31" ht="12.75" customHeight="1" x14ac:dyDescent="0.2">
      <c r="C9" s="687"/>
      <c r="E9" s="16"/>
      <c r="G9" s="765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$58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765"/>
      <c r="I9" s="765"/>
      <c r="J9" s="765"/>
      <c r="K9" s="766" t="s">
        <v>313</v>
      </c>
      <c r="L9" s="363" t="str">
        <f>$L$13</f>
        <v>Repasse (R$)</v>
      </c>
      <c r="M9" s="363" t="s">
        <v>238</v>
      </c>
      <c r="AD9" s="763"/>
      <c r="AE9" s="763"/>
    </row>
    <row r="10" spans="1:31" ht="12.75" customHeight="1" x14ac:dyDescent="0.2">
      <c r="A10" s="762" t="s">
        <v>314</v>
      </c>
      <c r="C10" s="687"/>
      <c r="G10" s="765"/>
      <c r="H10" s="765"/>
      <c r="I10" s="765"/>
      <c r="J10" s="765"/>
      <c r="K10" s="766"/>
      <c r="L10" s="364">
        <f ca="1">Import.Repasse-L15</f>
        <v>4785919</v>
      </c>
      <c r="M10" s="365">
        <f ca="1">Import.Contrapartida-M15</f>
        <v>338068.87</v>
      </c>
      <c r="Z10" s="707" t="s">
        <v>216</v>
      </c>
      <c r="AA10" s="707"/>
      <c r="AB10" s="707"/>
      <c r="AD10" s="763" t="s">
        <v>315</v>
      </c>
      <c r="AE10" s="763"/>
    </row>
    <row r="11" spans="1:31" ht="20.100000000000001" customHeight="1" x14ac:dyDescent="0.2">
      <c r="A11" s="762"/>
      <c r="C11" s="687"/>
      <c r="Z11" s="140" t="s">
        <v>316</v>
      </c>
      <c r="AA11" s="140" t="s">
        <v>238</v>
      </c>
      <c r="AB11" s="141" t="s">
        <v>239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IF(NOT(ISBLANK(QCI.DescManual)),IF(QCI.Divisao="Calculado","Manual","SemiAuto"),IF(ISERROR(MATCH($A12,ORÇAMENTO!$E$15:$E$58,0)),"Branco","Automático"))</f>
        <v>Branco</v>
      </c>
      <c r="C12" t="str">
        <f ca="1">IF(O12&gt;0,"F","")</f>
        <v/>
      </c>
      <c r="D12" s="366">
        <f>ROW()-ROW($D$13)</f>
        <v>-1</v>
      </c>
      <c r="E12" s="148"/>
      <c r="F12" s="367"/>
      <c r="G12" s="645" t="str">
        <f ca="1">IF(OR($B12="Manual",$B12="SemiAuto"),QCI.DescManual,IF($B12="Automático",INDEX(ORÇAMENTO!$R$15:$R$58,MATCH($A12,ORÇAMENTO!$E$15:$E$58,0)),""))</f>
        <v/>
      </c>
      <c r="H12" s="148"/>
      <c r="I12" s="644"/>
      <c r="J12" s="368" t="str">
        <f ca="1">IF(AND(ISBLANK(E12),ISBLANK(F12)),"",VLOOKUP($F12,OFFSET(DADOS!$A$2,1,MATCH(QCI!$E12,DADOS!$2:$2,0)-1,100,50),2,FALSE))</f>
        <v/>
      </c>
      <c r="K12" s="643" t="str">
        <f ca="1">IF(OR($B12="Manual",$B12="SemiAuto"),QCI.LoteManual,IF($B12="Automático",IF(TIPOORCAMENTO="Licitado",Import.CTEF,"LOTE 1"),""))</f>
        <v/>
      </c>
      <c r="L12" s="369">
        <f ca="1">ROUND($O12,2)-ROUND($M12,2)-ROUND($N12,2)</f>
        <v>0</v>
      </c>
      <c r="M12" s="370">
        <f ca="1">ROUND($AA12,2)-ROUND($AE12,2)</f>
        <v>0</v>
      </c>
      <c r="N12" s="371">
        <f ca="1">ROUND($AB12,2)</f>
        <v>0</v>
      </c>
      <c r="O12" s="372">
        <f ca="1">IF($B12="Branco",0,IF(OR($B12="Manual",$B12="SemiAuto"),QCI.InvManual,INDEX(ORÇAMENTO!X$15:X$58,MATCH($A12,ORÇAMENTO!$E$15:$E$58,0))))</f>
        <v>0</v>
      </c>
      <c r="P12" s="617"/>
      <c r="R12" s="646"/>
      <c r="T12" s="647"/>
      <c r="U12" s="374"/>
      <c r="V12" s="648" t="s">
        <v>317</v>
      </c>
      <c r="W12" s="375">
        <f ca="1">$O12</f>
        <v>0</v>
      </c>
      <c r="X12" s="376">
        <v>0</v>
      </c>
      <c r="Z12" s="377">
        <f ca="1">$O12-$AA12-$AB12</f>
        <v>0</v>
      </c>
      <c r="AA12">
        <f ca="1">IF($B12="Branco",0,IF($B12="Manual",QCI.CPManual,IF($B12="SemiAuto",ROUND(QCI!$AA$3*QCI.InvManual,2),INDEX(ORÇAMENTO!$AA$15:$AA$58,MATCH($A12,ORÇAMENTO!$E$15:$E$58,0)))))</f>
        <v>0</v>
      </c>
      <c r="AB12">
        <f ca="1">IF($B12="Branco",0,IF($B12="Manual",QCI.OutrosManual,IF($B12="SemiAuto",0,INDEX(ORÇAMENTO!$AB$15:$AB$58,MATCH($A12,ORÇAMENTO!$E$15:$E$58,0)))))</f>
        <v>0</v>
      </c>
      <c r="AD12" s="378" t="b">
        <f ca="1">AND($AA$3&gt;0,$AA$3&lt;1,$O12&gt;0,OR($B12="Automático",$B12="SemiAuto"),OR(QCI!$Z$3=QCI!$Z$7,QCI!$Z$3=QCI!$AA$7,QCI!$Z$3=QCI!$AB$7))</f>
        <v>0</v>
      </c>
      <c r="AE12" s="378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379">
        <v>0</v>
      </c>
      <c r="B13" s="380" t="s">
        <v>318</v>
      </c>
      <c r="C13" s="136" t="s">
        <v>217</v>
      </c>
      <c r="D13" s="137" t="s">
        <v>195</v>
      </c>
      <c r="E13" s="137" t="s">
        <v>319</v>
      </c>
      <c r="F13" s="137" t="s">
        <v>320</v>
      </c>
      <c r="G13" s="137" t="s">
        <v>321</v>
      </c>
      <c r="H13" s="137" t="s">
        <v>161</v>
      </c>
      <c r="I13" s="137" t="s">
        <v>203</v>
      </c>
      <c r="J13" s="137" t="s">
        <v>322</v>
      </c>
      <c r="K13" s="137" t="s">
        <v>323</v>
      </c>
      <c r="L13" s="381" t="str">
        <f>IF(import.recurso="FGTS","Financiamento (R$)","Repasse (R$)")</f>
        <v>Repasse (R$)</v>
      </c>
      <c r="M13" s="382" t="s">
        <v>324</v>
      </c>
      <c r="N13" s="383" t="s">
        <v>239</v>
      </c>
      <c r="O13" s="137" t="s">
        <v>325</v>
      </c>
      <c r="R13" s="384" t="s">
        <v>321</v>
      </c>
      <c r="T13" s="384" t="s">
        <v>323</v>
      </c>
      <c r="U13" s="202" t="s">
        <v>325</v>
      </c>
      <c r="V13" s="385" t="s">
        <v>326</v>
      </c>
      <c r="W13" s="201" t="s">
        <v>324</v>
      </c>
      <c r="X13" s="203" t="s">
        <v>239</v>
      </c>
    </row>
    <row r="14" spans="1:31" ht="38.25" x14ac:dyDescent="0.2">
      <c r="A14">
        <f t="shared" ref="A14" ca="1" si="0">IF(NOT(ISBLANK(QCI.DescManual)),OFFSET(A14,-1,0),D14)</f>
        <v>1</v>
      </c>
      <c r="B14" t="str">
        <f ca="1">IF(NOT(ISBLANK(QCI.DescManual)),IF(QCI.Divisao="Calculado","Manual","SemiAuto"),IF(ISERROR(MATCH($A14,ORÇAMENTO!$E$15:$E$58,0)),"Branco","Automático"))</f>
        <v>Automático</v>
      </c>
      <c r="C14" t="str">
        <f t="shared" ref="C14" ca="1" si="1">IF(O14&gt;0,"F","")</f>
        <v/>
      </c>
      <c r="D14" s="366">
        <f t="shared" ref="D14" si="2">ROW()-ROW($D$13)</f>
        <v>1</v>
      </c>
      <c r="E14" s="148" t="s">
        <v>10</v>
      </c>
      <c r="F14" s="367" t="s">
        <v>81</v>
      </c>
      <c r="G14" s="645" t="str">
        <f ca="1">IF(OR($B14="Manual",$B14="SemiAuto"),QCI.DescManual,IF($B14="Automático",INDEX(ORÇAMENTO!$R$15:$R$58,MATCH($A14,ORÇAMENTO!$E$15:$E$58,0)),""))</f>
        <v xml:space="preserve">PAVIMENTAÇÃO  EM CBUQ DE DIVERSAS VIAS DO MUNICIPIO DE SÃO FRANCISCO-MG </v>
      </c>
      <c r="H14" s="148" t="s">
        <v>500</v>
      </c>
      <c r="I14" s="644">
        <f ca="1">CÁLCULO!H31</f>
        <v>27566.989999999994</v>
      </c>
      <c r="J14" s="368" t="str">
        <f ca="1">IF(AND(ISBLANK(E14),ISBLANK(F14)),"",VLOOKUP($F14,OFFSET(DADOS!$A$2,1,MATCH(QCI!$E14,DADOS!$2:$2,0)-1,100,50),2,FALSE))</f>
        <v>m²</v>
      </c>
      <c r="K14" s="643" t="str">
        <f ca="1">IF(OR($B14="Manual",$B14="SemiAuto"),QCI.LoteManual,IF($B14="Automático",IF(TIPOORCAMENTO="Licitado",Import.CTEF,"LOTE 1"),""))</f>
        <v>LOTE 1</v>
      </c>
      <c r="L14" s="369">
        <f t="shared" ref="L14" ca="1" si="3">ROUND($O14,2)-ROUND($M14,2)-ROUND($N14,2)</f>
        <v>0</v>
      </c>
      <c r="M14" s="370">
        <f t="shared" ref="M14" ca="1" si="4">ROUND($AA14,2)-ROUND($AE14,2)</f>
        <v>0</v>
      </c>
      <c r="N14" s="371">
        <f t="shared" ref="N14" ca="1" si="5">ROUND($AB14,2)</f>
        <v>0</v>
      </c>
      <c r="O14" s="372">
        <f ca="1">IF($B14="Branco",0,IF(OR($B14="Manual",$B14="SemiAuto"),QCI.InvManual,INDEX(ORÇAMENTO!X$15:X$58,MATCH($A14,ORÇAMENTO!$E$15:$E$58,0))))</f>
        <v>0</v>
      </c>
      <c r="P14" s="617"/>
      <c r="R14" s="646"/>
      <c r="T14" s="647"/>
      <c r="U14" s="374"/>
      <c r="V14" s="648" t="s">
        <v>317</v>
      </c>
      <c r="W14" s="375">
        <f t="shared" ref="W14" ca="1" si="6">$O14</f>
        <v>0</v>
      </c>
      <c r="X14" s="376">
        <v>0</v>
      </c>
      <c r="Z14" s="377">
        <f t="shared" ref="Z14" ca="1" si="7">$O14-$AA14-$AB14</f>
        <v>0</v>
      </c>
      <c r="AA14">
        <f ca="1">IF($B14="Branco",0,IF($B14="Manual",QCI.CPManual,IF($B14="SemiAuto",ROUND(QCI!$AA$3*QCI.InvManual,2),INDEX(ORÇAMENTO!$AA$15:$AA$58,MATCH($A14,ORÇAMENTO!$E$15:$E$58,0)))))</f>
        <v>0</v>
      </c>
      <c r="AB14">
        <f ca="1">IF($B14="Branco",0,IF($B14="Manual",QCI.OutrosManual,IF($B14="SemiAuto",0,INDEX(ORÇAMENTO!$AB$15:$AB$58,MATCH($A14,ORÇAMENTO!$E$15:$E$58,0)))))</f>
        <v>0</v>
      </c>
      <c r="AD14" s="378" t="b">
        <f ca="1">AND($AA$3&gt;0,$AA$3&lt;1,$O14&gt;0,OR($B14="Automático",$B14="SemiAuto"),OR(QCI!$Z$3=QCI!$Z$7,QCI!$Z$3=QCI!$AA$7,QCI!$Z$3=QCI!$AB$7))</f>
        <v>0</v>
      </c>
      <c r="AE14" s="378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327</v>
      </c>
      <c r="C15" t="s">
        <v>246</v>
      </c>
      <c r="D15" s="386"/>
      <c r="E15" s="387"/>
      <c r="F15" s="387"/>
      <c r="G15" s="387"/>
      <c r="H15" s="387"/>
      <c r="I15" s="387"/>
      <c r="J15" s="387"/>
      <c r="K15" s="764" t="s">
        <v>328</v>
      </c>
      <c r="L15" s="388">
        <f ca="1">SUM(L13:OFFSET(L15,-1,0))</f>
        <v>0</v>
      </c>
      <c r="M15" s="389">
        <f ca="1">SUM(M13:OFFSET(M15,-1,0))</f>
        <v>0</v>
      </c>
      <c r="N15" s="390">
        <f ca="1">SUM(N13:OFFSET(N15,-1,0))</f>
        <v>0</v>
      </c>
      <c r="O15" s="391">
        <f ca="1">SUM(O13:OFFSET(O15,-1,0))</f>
        <v>0</v>
      </c>
      <c r="R15" s="392"/>
      <c r="T15" s="393"/>
      <c r="U15" s="394"/>
      <c r="V15" s="395"/>
      <c r="W15" s="396"/>
      <c r="X15" s="397"/>
      <c r="Z15" s="398">
        <f ca="1">SUMPRODUCT(ROUND(Z13:OFFSET(Z15,-1,0),2))</f>
        <v>0</v>
      </c>
      <c r="AA15" s="398">
        <f ca="1">SUMPRODUCT(ROUND(AA13:OFFSET(AA15,-1,0),2))</f>
        <v>0</v>
      </c>
      <c r="AB15" s="398">
        <f ca="1">SUM(AB13:OFFSET(AB15,-1,0))</f>
        <v>0</v>
      </c>
    </row>
    <row r="16" spans="1:31" x14ac:dyDescent="0.2">
      <c r="B16" t="s">
        <v>329</v>
      </c>
      <c r="C16" t="s">
        <v>246</v>
      </c>
      <c r="D16" s="399"/>
      <c r="E16" s="400"/>
      <c r="F16" s="400"/>
      <c r="G16" s="400"/>
      <c r="H16" s="400"/>
      <c r="I16" s="400"/>
      <c r="J16" s="400"/>
      <c r="K16" s="764"/>
      <c r="L16" s="401">
        <f ca="1">IF(ISERROR(L15/$O15),0,ROUND(L15/$O15,4))</f>
        <v>0</v>
      </c>
      <c r="M16" s="402">
        <f ca="1">IF(ISERROR(M15/$O15),0,ROUND(M15/$O15,4))</f>
        <v>0</v>
      </c>
      <c r="N16" s="403">
        <f ca="1">IF(ISERROR(N15/$O15),0,ROUND(N15/$O15,4))</f>
        <v>0</v>
      </c>
      <c r="O16" s="404">
        <f ca="1">IF(ISERROR(O15/$O15),0,ROUND(O15/$O15,4))</f>
        <v>0</v>
      </c>
      <c r="R16" s="405"/>
      <c r="T16" s="406"/>
      <c r="U16" s="407"/>
      <c r="V16" s="408"/>
      <c r="W16" s="409"/>
      <c r="X16" s="410"/>
    </row>
    <row r="18" spans="4:15" ht="14.25" x14ac:dyDescent="0.2">
      <c r="D18" s="171" t="s">
        <v>187</v>
      </c>
      <c r="E18" s="106"/>
      <c r="F18" s="106"/>
      <c r="G18" s="106"/>
      <c r="H18" s="106"/>
      <c r="I18" s="106"/>
      <c r="J18" s="106"/>
      <c r="K18" s="106"/>
      <c r="L18" s="106"/>
      <c r="M18" s="106"/>
    </row>
    <row r="19" spans="4:15" ht="12.75" customHeight="1" x14ac:dyDescent="0.2"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</row>
    <row r="20" spans="4:15" ht="12.75" customHeight="1" x14ac:dyDescent="0.2">
      <c r="D20" s="714"/>
      <c r="E20" s="714"/>
      <c r="F20" s="714"/>
      <c r="G20" s="714"/>
      <c r="H20" s="714"/>
      <c r="I20" s="714"/>
      <c r="J20" s="714"/>
      <c r="K20" s="714"/>
      <c r="L20" s="714"/>
      <c r="M20" s="714"/>
      <c r="N20" s="714"/>
      <c r="O20" s="714"/>
    </row>
    <row r="21" spans="4:15" ht="12.75" customHeight="1" x14ac:dyDescent="0.2">
      <c r="D21" s="714"/>
      <c r="E21" s="714"/>
      <c r="F21" s="714"/>
      <c r="G21" s="714"/>
      <c r="H21" s="714"/>
      <c r="I21" s="714"/>
      <c r="J21" s="714"/>
      <c r="K21" s="714"/>
      <c r="L21" s="714"/>
      <c r="M21" s="714"/>
      <c r="N21" s="714"/>
      <c r="O21" s="714"/>
    </row>
    <row r="24" spans="4:15" ht="15" x14ac:dyDescent="0.2">
      <c r="D24" s="716" t="str">
        <f>Import.Município</f>
        <v xml:space="preserve">SÃO FRANCISCO </v>
      </c>
      <c r="E24" s="716"/>
      <c r="F24" s="716"/>
      <c r="I24" s="176"/>
      <c r="J24" s="176"/>
      <c r="K24" s="229"/>
      <c r="L24" s="229"/>
    </row>
    <row r="25" spans="4:15" x14ac:dyDescent="0.2">
      <c r="D25" s="12" t="s">
        <v>188</v>
      </c>
      <c r="E25" s="105"/>
      <c r="F25" s="105"/>
      <c r="I25" s="230" t="s">
        <v>330</v>
      </c>
      <c r="J25" s="230"/>
    </row>
    <row r="26" spans="4:15" x14ac:dyDescent="0.2">
      <c r="D26" s="105"/>
      <c r="E26" s="105"/>
      <c r="F26" s="105"/>
      <c r="I26" s="95" t="str">
        <f>"Nome:" &amp;  " " &amp; DADOS!F28</f>
        <v>Nome: MIGUEL PAULO SOUSA FILHO</v>
      </c>
    </row>
    <row r="27" spans="4:15" x14ac:dyDescent="0.2">
      <c r="D27" s="711">
        <f ca="1">DADOS!$F$25</f>
        <v>45737</v>
      </c>
      <c r="E27" s="711"/>
      <c r="F27" s="711"/>
      <c r="I27" s="95" t="str">
        <f>"Cargo:"  &amp; " " &amp; DADOS!F29</f>
        <v xml:space="preserve">Cargo: PREFEITO MUNICIPAL </v>
      </c>
    </row>
    <row r="28" spans="4:15" x14ac:dyDescent="0.2">
      <c r="D28" s="178" t="s">
        <v>189</v>
      </c>
      <c r="E28" s="179"/>
      <c r="F28" s="179"/>
      <c r="K28" s="95"/>
      <c r="L28" s="96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AD10:AE10"/>
    <mergeCell ref="K15:K16"/>
    <mergeCell ref="C7:C11"/>
    <mergeCell ref="G9:J10"/>
    <mergeCell ref="K9:K10"/>
    <mergeCell ref="AD9:AE9"/>
    <mergeCell ref="D7:K7"/>
    <mergeCell ref="D6:K6"/>
    <mergeCell ref="A10:A11"/>
    <mergeCell ref="Z10:AB10"/>
    <mergeCell ref="D27:F27"/>
    <mergeCell ref="D19:O21"/>
    <mergeCell ref="D24:F24"/>
  </mergeCells>
  <phoneticPr fontId="38" type="noConversion"/>
  <conditionalFormatting sqref="T12:V12 T14:V14">
    <cfRule type="expression" dxfId="51" priority="157" stopIfTrue="1">
      <formula>OR($B12="Automático",$B12="Branco")</formula>
    </cfRule>
  </conditionalFormatting>
  <conditionalFormatting sqref="L12 L14">
    <cfRule type="expression" dxfId="50" priority="158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 W14:X14">
    <cfRule type="expression" dxfId="49" priority="159" stopIfTrue="1">
      <formula>OR($B12="Automático",$B12="Branco",$V12&lt;&gt;"Calculado")</formula>
    </cfRule>
  </conditionalFormatting>
  <conditionalFormatting sqref="M16">
    <cfRule type="expression" dxfId="48" priority="161" stopIfTrue="1">
      <formula>AND($G$9&lt;&gt;"",OR($M$16&lt;Import.CPMinPerc,$M$16&gt;Import.CPMaxPerc))</formula>
    </cfRule>
  </conditionalFormatting>
  <conditionalFormatting sqref="M15">
    <cfRule type="expression" dxfId="47" priority="162" stopIfTrue="1">
      <formula>AND($G$9&lt;&gt;"",$M$15&lt;Import.CPMinAbsoluta)</formula>
    </cfRule>
  </conditionalFormatting>
  <conditionalFormatting sqref="L10:M10">
    <cfRule type="cellIs" dxfId="46" priority="163" stopIfTrue="1" operator="lessThan">
      <formula>0</formula>
    </cfRule>
  </conditionalFormatting>
  <conditionalFormatting sqref="G12">
    <cfRule type="cellIs" dxfId="45" priority="164" stopIfTrue="1" operator="equal">
      <formula>"(digite a descrição aqui)"</formula>
    </cfRule>
  </conditionalFormatting>
  <conditionalFormatting sqref="G14">
    <cfRule type="cellIs" dxfId="44" priority="8" stopIfTrue="1" operator="equal">
      <formula>"(digite a descrição aqui)"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98" right="0.78740157480314998" top="0.78740157480314998" bottom="0.78740157480314998" header="0.59055118110236204" footer="0.59055118110236204"/>
  <pageSetup paperSize="9" scale="62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73"/>
  <sheetViews>
    <sheetView showGridLines="0" topLeftCell="C1" zoomScale="90" zoomScaleNormal="90" zoomScaleSheetLayoutView="90" workbookViewId="0">
      <pane xSplit="5" ySplit="15" topLeftCell="P16" activePane="bottomRight" state="frozen"/>
      <selection activeCell="C1" sqref="C1"/>
      <selection pane="topRight" activeCell="H1" sqref="H1"/>
      <selection pane="bottomLeft" activeCell="C16" sqref="C16"/>
      <selection pane="bottomRight" activeCell="A57" sqref="A57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C1" s="100"/>
      <c r="D1" s="100"/>
      <c r="E1" s="411" t="str">
        <f>IF(CAIXA.Modo,"BA - Boletim de Aferição","BM - Boletim de Medição")</f>
        <v>BM - Boletim de Medição</v>
      </c>
      <c r="F1" s="100"/>
      <c r="G1" s="412"/>
      <c r="H1" s="100"/>
      <c r="J1" s="412"/>
      <c r="K1" s="412"/>
      <c r="L1" s="412"/>
      <c r="M1" s="412"/>
      <c r="N1" s="412"/>
      <c r="O1" s="69" t="s">
        <v>140</v>
      </c>
    </row>
    <row r="2" spans="1:41" ht="15" x14ac:dyDescent="0.2">
      <c r="A2" s="413" t="s">
        <v>331</v>
      </c>
      <c r="B2" s="414"/>
      <c r="C2" s="105"/>
      <c r="D2" s="105"/>
      <c r="E2" s="415" t="str">
        <f ca="1">IF(Import.RegimeExecução="(SELECIONAR)","Selecione o Regime de Execução na Aba Dados",Import.RegimeExecução&amp;" - "&amp;import.recurso)</f>
        <v>Selecione o Regime de Execução na Aba Dados</v>
      </c>
      <c r="F2" s="105"/>
      <c r="G2" s="105"/>
      <c r="H2" s="105"/>
      <c r="J2" s="105"/>
      <c r="K2" s="105"/>
      <c r="L2" s="105"/>
      <c r="M2" s="105"/>
      <c r="N2" s="105"/>
      <c r="O2" s="14" t="s">
        <v>143</v>
      </c>
    </row>
    <row r="3" spans="1:41" x14ac:dyDescent="0.2">
      <c r="A3" s="785" t="b">
        <v>0</v>
      </c>
      <c r="B3" s="785"/>
      <c r="C3" s="105"/>
      <c r="D3" s="105"/>
      <c r="E3" s="110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41" x14ac:dyDescent="0.2">
      <c r="C4" s="105"/>
      <c r="D4" s="694" t="s">
        <v>147</v>
      </c>
      <c r="E4" s="694"/>
      <c r="F4" s="705" t="s">
        <v>146</v>
      </c>
      <c r="G4" s="705"/>
      <c r="H4" s="705"/>
      <c r="I4" s="184" t="s">
        <v>443</v>
      </c>
      <c r="J4" s="694" t="s">
        <v>202</v>
      </c>
      <c r="K4" s="694"/>
      <c r="L4" s="694"/>
      <c r="M4" s="694"/>
      <c r="N4" s="694"/>
      <c r="O4" s="186" t="s">
        <v>332</v>
      </c>
    </row>
    <row r="5" spans="1:41" ht="12.75" customHeight="1" x14ac:dyDescent="0.2">
      <c r="A5" t="s">
        <v>333</v>
      </c>
      <c r="C5" s="105"/>
      <c r="D5" s="697" t="str">
        <f>Import.Proponente</f>
        <v>PREFEITURA MUNICIPAL DE SÃO FRANCISCO-MG</v>
      </c>
      <c r="E5" s="697"/>
      <c r="F5" s="710" t="str">
        <f>Import.CR</f>
        <v>01090614-71</v>
      </c>
      <c r="G5" s="710"/>
      <c r="H5" s="710"/>
      <c r="I5" s="416" t="str">
        <f>Import.TransfereGOV</f>
        <v>951453</v>
      </c>
      <c r="J5" s="697" t="str">
        <f>Import.Apelido</f>
        <v xml:space="preserve">PAVIMENTAÇÃO ASFALTICA EM CBUQ DE DIVERSAS VIAS DO BAIRRO FUNCIONÁRIOS NO  MUNICIPIO DE SÃO FRANCISCO-MG </v>
      </c>
      <c r="K5" s="697"/>
      <c r="L5" s="697"/>
      <c r="M5" s="697"/>
      <c r="N5" s="697"/>
      <c r="O5" s="417">
        <f>Import.DataInicioObra</f>
        <v>0</v>
      </c>
      <c r="AO5" s="418" t="s">
        <v>334</v>
      </c>
    </row>
    <row r="6" spans="1:41" ht="5.0999999999999996" customHeight="1" x14ac:dyDescent="0.2">
      <c r="C6" s="105"/>
      <c r="D6" s="122"/>
      <c r="E6" s="123"/>
      <c r="F6" s="122"/>
      <c r="G6" s="122"/>
      <c r="H6" s="122"/>
      <c r="I6" s="122"/>
      <c r="J6" s="122"/>
      <c r="K6" s="122"/>
      <c r="L6" s="122"/>
      <c r="M6" s="122"/>
      <c r="N6" s="122"/>
      <c r="O6" s="122"/>
      <c r="AO6" s="419"/>
    </row>
    <row r="7" spans="1:41" ht="12.75" customHeight="1" x14ac:dyDescent="0.2">
      <c r="A7" t="str">
        <f ca="1">RegimeExecucao</f>
        <v>Unitário</v>
      </c>
      <c r="C7" s="105"/>
      <c r="D7" s="112" t="s">
        <v>335</v>
      </c>
      <c r="E7" s="112" t="s">
        <v>336</v>
      </c>
      <c r="F7" s="694" t="s">
        <v>337</v>
      </c>
      <c r="G7" s="694"/>
      <c r="H7" s="694"/>
      <c r="I7" s="694" t="str">
        <f>IF(TIPOORCAMENTO="Licitado","REGIME DE EXECUÇÃO","MUNICÍPIO / UF")</f>
        <v>MUNICÍPIO / UF</v>
      </c>
      <c r="J7" s="694"/>
      <c r="K7" s="694"/>
      <c r="L7" s="694"/>
      <c r="M7" s="694" t="s">
        <v>338</v>
      </c>
      <c r="N7" s="694"/>
      <c r="O7" s="112" t="s">
        <v>339</v>
      </c>
      <c r="AO7" s="360">
        <f ca="1">BM.MEDAcumulado</f>
        <v>0</v>
      </c>
    </row>
    <row r="8" spans="1:41" ht="12.75" customHeight="1" x14ac:dyDescent="0.2">
      <c r="A8" s="413" t="s">
        <v>340</v>
      </c>
      <c r="B8" s="414"/>
      <c r="C8" s="687" t="s">
        <v>209</v>
      </c>
      <c r="D8" s="420">
        <f>Import.CTEF</f>
        <v>0</v>
      </c>
      <c r="E8" s="73">
        <f>Import.empresa</f>
        <v>0</v>
      </c>
      <c r="F8" s="697">
        <f>Import.CNPJ</f>
        <v>0</v>
      </c>
      <c r="G8" s="697"/>
      <c r="H8" s="697"/>
      <c r="I8" s="697" t="str">
        <f>IF(TIPOORCAMENTO="Licitado",Import.RegimeExecução,Import.Município)</f>
        <v xml:space="preserve">SÃO FRANCISCO </v>
      </c>
      <c r="J8" s="697"/>
      <c r="K8" s="697"/>
      <c r="L8" s="697"/>
      <c r="M8" s="697" t="str">
        <f ca="1">TEXT(IF(BM.medicao=1,Import.DataInicioObra,OFFSET($AB$12,0,BM.medicao-1-$AB$13)+1),"dd/mm/aaaa")&amp;" a "&amp;TEXT(OFFSET($AB$12,0,BM.medicao-$AB$13),"dd/mm/aaaa")</f>
        <v>00/01/1900 a 19/04/2024</v>
      </c>
      <c r="N8" s="697"/>
      <c r="O8" s="570">
        <v>1</v>
      </c>
    </row>
    <row r="9" spans="1:41" ht="12.75" customHeight="1" x14ac:dyDescent="0.2">
      <c r="A9" s="616" t="b">
        <v>1</v>
      </c>
      <c r="B9" s="55"/>
      <c r="C9" s="687"/>
      <c r="D9" s="16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41" x14ac:dyDescent="0.2">
      <c r="C10" s="687"/>
      <c r="D10" s="16"/>
      <c r="E10" s="783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783"/>
      <c r="G10" s="783"/>
      <c r="H10" s="783"/>
      <c r="I10" s="783"/>
      <c r="J10" s="105"/>
      <c r="K10" s="105"/>
      <c r="L10" s="105"/>
      <c r="N10" s="784" t="str">
        <f ca="1">"Realizado Acumulado: "&amp;TEXT(ROUND($O$15/($I$15+10^-12),4),"0,00%")</f>
        <v>Realizado Acumulado: 0,00%</v>
      </c>
      <c r="O10" s="784"/>
    </row>
    <row r="11" spans="1:41" ht="15" customHeight="1" x14ac:dyDescent="0.25">
      <c r="C11" s="687"/>
      <c r="D11" s="105"/>
      <c r="E11" s="783"/>
      <c r="F11" s="783"/>
      <c r="G11" s="783"/>
      <c r="H11" s="783"/>
      <c r="I11" s="783"/>
      <c r="J11" s="105"/>
      <c r="K11" s="105"/>
      <c r="L11" s="105"/>
      <c r="M11" s="105"/>
      <c r="N11" s="784"/>
      <c r="O11" s="784"/>
      <c r="T11" s="782" t="s">
        <v>341</v>
      </c>
      <c r="U11" s="782"/>
      <c r="V11" s="101"/>
      <c r="W11" s="101"/>
      <c r="X11" s="101"/>
      <c r="Y11" s="101"/>
      <c r="Z11" s="60"/>
      <c r="AB11" s="779" t="s">
        <v>342</v>
      </c>
      <c r="AC11" s="779"/>
      <c r="AD11" s="779"/>
      <c r="AE11" s="779"/>
      <c r="AF11" s="779"/>
      <c r="AG11" s="779"/>
      <c r="AH11" s="779"/>
      <c r="AI11" s="779"/>
      <c r="AJ11" s="779"/>
      <c r="AK11" s="779"/>
      <c r="AL11" s="779"/>
      <c r="AM11" s="779"/>
    </row>
    <row r="12" spans="1:41" ht="15" customHeight="1" x14ac:dyDescent="0.25">
      <c r="C12" s="687"/>
      <c r="D12" s="105"/>
      <c r="E12" s="200" t="s">
        <v>343</v>
      </c>
      <c r="F12" s="105"/>
      <c r="G12" s="105"/>
      <c r="H12" s="105"/>
      <c r="I12" s="105"/>
      <c r="J12" s="780" t="str">
        <f ca="1">"Evolução Física "&amp;CHOOSE(MATCH(RegimeExecucao,{"Unitário","Global"},0),"(Qtde.)","(%)")</f>
        <v>Evolução Física (Qtde.)</v>
      </c>
      <c r="K12" s="780"/>
      <c r="L12" s="780"/>
      <c r="M12" s="780" t="s">
        <v>344</v>
      </c>
      <c r="N12" s="780"/>
      <c r="O12" s="780"/>
      <c r="Q12" s="781" t="str">
        <f ca="1">"Aferido (CAIXA) "&amp;CHOOSE(MATCH(RegimeExecucao,{"Unitário","Global"},0),"(Qtde.)","(%)")</f>
        <v>Aferido (CAIXA) (Qtde.)</v>
      </c>
      <c r="R12" s="781"/>
      <c r="T12" s="421" t="s">
        <v>345</v>
      </c>
      <c r="U12" s="229"/>
      <c r="V12" s="229"/>
      <c r="W12" s="229"/>
      <c r="X12" s="229"/>
      <c r="Y12" s="229"/>
      <c r="Z12" s="55"/>
      <c r="AB12" s="422">
        <v>45401</v>
      </c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  <c r="AM12" s="424"/>
    </row>
    <row r="13" spans="1:41" ht="45" customHeight="1" x14ac:dyDescent="0.2">
      <c r="A13" s="137" t="s">
        <v>222</v>
      </c>
      <c r="B13" s="137" t="s">
        <v>221</v>
      </c>
      <c r="C13" s="136" t="s">
        <v>217</v>
      </c>
      <c r="D13" s="384" t="s">
        <v>231</v>
      </c>
      <c r="E13" s="384" t="s">
        <v>234</v>
      </c>
      <c r="F13" s="425" t="s">
        <v>235</v>
      </c>
      <c r="G13" s="384" t="s">
        <v>203</v>
      </c>
      <c r="H13" s="384" t="s">
        <v>236</v>
      </c>
      <c r="I13" s="384" t="s">
        <v>237</v>
      </c>
      <c r="J13" s="384" t="s">
        <v>346</v>
      </c>
      <c r="K13" s="384" t="s">
        <v>347</v>
      </c>
      <c r="L13" s="384" t="s">
        <v>348</v>
      </c>
      <c r="M13" s="384" t="s">
        <v>346</v>
      </c>
      <c r="N13" s="384" t="s">
        <v>347</v>
      </c>
      <c r="O13" s="384" t="s">
        <v>348</v>
      </c>
      <c r="Q13" s="384" t="s">
        <v>346</v>
      </c>
      <c r="R13" s="384" t="s">
        <v>348</v>
      </c>
      <c r="T13" s="384" t="s">
        <v>231</v>
      </c>
      <c r="U13" s="384" t="s">
        <v>234</v>
      </c>
      <c r="V13" s="425" t="str">
        <f ca="1">IF(RegimeExecucao="Unitário","Unidade","")</f>
        <v>Unidade</v>
      </c>
      <c r="W13" s="384" t="str">
        <f ca="1">CHOOSE(MATCH(RegimeExecucao,{"Unitário","Global"},0),"Quant. Glosada (unid)","Percentual Glosado (%)")</f>
        <v>Quant. Glosada (unid)</v>
      </c>
      <c r="X13" s="384" t="str">
        <f ca="1">CHOOSE(MATCH(RegimeExecucao,{"Unitário","Global"},0),"Preço Unitário (R$)","Valor Total do Item (R$)")</f>
        <v>Preço Unitário (R$)</v>
      </c>
      <c r="Y13" s="384" t="s">
        <v>349</v>
      </c>
      <c r="Z13" s="384" t="s">
        <v>350</v>
      </c>
      <c r="AA13" s="426"/>
      <c r="AB13" s="427">
        <f ca="1">IF(BM.medicao&lt;=12,1,TRUNC((BM.medicao - 2)/11,0) * 11 + 1)</f>
        <v>1</v>
      </c>
      <c r="AC13" s="427">
        <f ca="1">OFFSET(AC13,0,-1)+1</f>
        <v>2</v>
      </c>
      <c r="AD13" s="427">
        <f t="shared" ref="AD13:AM13" ca="1" si="0">OFFSET(AD13,0,-1)+1</f>
        <v>3</v>
      </c>
      <c r="AE13" s="427">
        <f t="shared" ca="1" si="0"/>
        <v>4</v>
      </c>
      <c r="AF13" s="427">
        <f t="shared" ca="1" si="0"/>
        <v>5</v>
      </c>
      <c r="AG13" s="427">
        <f t="shared" ca="1" si="0"/>
        <v>6</v>
      </c>
      <c r="AH13" s="427">
        <f t="shared" ca="1" si="0"/>
        <v>7</v>
      </c>
      <c r="AI13" s="427">
        <f t="shared" ca="1" si="0"/>
        <v>8</v>
      </c>
      <c r="AJ13" s="427">
        <f t="shared" ca="1" si="0"/>
        <v>9</v>
      </c>
      <c r="AK13" s="427">
        <f t="shared" ca="1" si="0"/>
        <v>10</v>
      </c>
      <c r="AL13" s="427">
        <f t="shared" ca="1" si="0"/>
        <v>11</v>
      </c>
      <c r="AM13" s="427">
        <f t="shared" ca="1" si="0"/>
        <v>12</v>
      </c>
      <c r="AO13" s="137" t="s">
        <v>351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44" t="str">
        <f ca="1">IF(OR($I14&gt;0,$A14=1,$A14=2,$A14=3,$A14=4),"F","")</f>
        <v/>
      </c>
      <c r="D14" s="147" t="str">
        <f ca="1">ORÇAMENTO!O14</f>
        <v>-</v>
      </c>
      <c r="E14" s="207" t="str">
        <f ca="1">ORÇAMENTO.Descricao</f>
        <v>(abra o arquivo 'Referência 12-2023.xlsm)</v>
      </c>
      <c r="F14" s="208" t="str">
        <f ca="1">IF(RegimeExecucao="Global","",ORÇAMENTO.Unidade)</f>
        <v>-</v>
      </c>
      <c r="G14" s="152">
        <f ca="1">IF(RegimeExecucao="Global","",ORÇAMENTO!T14)</f>
        <v>0</v>
      </c>
      <c r="H14" s="152">
        <f ca="1">IF(RegimeExecucao="Global","",ORÇAMENTO!W14)</f>
        <v>0</v>
      </c>
      <c r="I14" s="155">
        <f ca="1">ORÇAMENTO!X14</f>
        <v>0</v>
      </c>
      <c r="J14" s="428">
        <f ca="1">IF($A14="S",IF(CAIXA.Modo,BM.AFAnterior,BM.MEDAnterior),IF(AND(RegimeExecucao="Global",$I14&gt;0,COUNTIF($AB$13:$AM$13,BM.medicao-1)&gt;0),M14/$I14*100,0))</f>
        <v>0</v>
      </c>
      <c r="K14" s="152">
        <f ca="1">L14-J14</f>
        <v>0</v>
      </c>
      <c r="L14" s="429">
        <f ca="1">IF($A14="S",IF(CAIXA.Modo,BM.AFAcumulado,BM.MEDAcumulado),IF(AND(RegimeExecucao="Global",$I14&gt;0,COUNTIF($AB$13:$AM$13,BM.medicao)&gt;0),O14/$I14*100,0))</f>
        <v>0</v>
      </c>
      <c r="M14" s="430">
        <f ca="1">IF($A14="S",VTOTALBM,IF($A14=0,0,ROUND(SomaAgrupBM,15-13*ORÇAMENTO!$AF$11)))</f>
        <v>0</v>
      </c>
      <c r="N14" s="431">
        <f ca="1">O14-M14</f>
        <v>0</v>
      </c>
      <c r="O14" s="155">
        <f ca="1">IF($A14="S",VTOTALBM,IF($A14=0,0,ROUND(SomaAgrupBM,15-13*ORÇAMENTO!$AF$11)))</f>
        <v>0</v>
      </c>
      <c r="Q14" s="432"/>
      <c r="R14" s="433"/>
      <c r="T14" s="147" t="str">
        <f ca="1">IF($W14&gt;0,$D14,"")</f>
        <v/>
      </c>
      <c r="U14" s="207" t="str">
        <f ca="1">IF($W14&gt;0,$E14,"")</f>
        <v/>
      </c>
      <c r="V14" s="208" t="str">
        <f ca="1">IF(AND($W14&gt;0,RegimeExecucao="Unitário"),$F14,"")</f>
        <v/>
      </c>
      <c r="W14" s="633">
        <f ca="1">IF($Y14&gt;0,CHOOSE(MATCH(RegimeExecucao,{"Unitário","Global"},0),IF($A14="S",$Y14/$X14,""),($Y14/$X14)*100),0)</f>
        <v>0</v>
      </c>
      <c r="X14" s="434" t="str">
        <f ca="1">IF($Y14&gt;0,CHOOSE(MATCH(RegimeExecucao,{"Unitário","Global"},0),IF($A14="S",ROUND($H14,ORÇAMENTO!$AF$10),""),ROUND($I14,ORÇAMENTO!$AF$11)),"")</f>
        <v/>
      </c>
      <c r="Y14" s="434">
        <f ca="1">AO14-O14</f>
        <v>0</v>
      </c>
      <c r="Z14" s="660"/>
      <c r="AB14" s="432"/>
      <c r="AC14" s="599"/>
      <c r="AD14" s="599"/>
      <c r="AE14" s="599"/>
      <c r="AF14" s="599"/>
      <c r="AG14" s="599"/>
      <c r="AH14" s="599"/>
      <c r="AI14" s="599"/>
      <c r="AJ14" s="599"/>
      <c r="AK14" s="599"/>
      <c r="AL14" s="599"/>
      <c r="AM14" s="433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44" t="s">
        <v>246</v>
      </c>
      <c r="D15" s="778" t="str">
        <f>"Objeto do CTEF: "&amp;Import.DescLote</f>
        <v xml:space="preserve">Objeto do CTEF: PAVIMENTAÇÃO ASFALTICA EM CBUQ DE DIVERSAS VIAS DO BAIRRO FUNCIONÁRIOS NO  MUNICIPIO DE SÃO FRANCISCO-MG  </v>
      </c>
      <c r="E15" s="778"/>
      <c r="F15" s="634"/>
      <c r="G15" s="635"/>
      <c r="H15" s="635" t="s">
        <v>352</v>
      </c>
      <c r="I15" s="636">
        <f>IF(OR(ACOMPANHAMENTO="PLE",TIPOORCAMENTO="Proposto"),0,ORÇAMENTO!$X$15)</f>
        <v>0</v>
      </c>
      <c r="J15" s="435">
        <f ca="1">IF(M$15=0,0,IF(RegimeExecucao="Global",M$15/$I$15*100,0))</f>
        <v>0</v>
      </c>
      <c r="K15" s="435">
        <f ca="1">L15-J15</f>
        <v>0</v>
      </c>
      <c r="L15" s="435">
        <f ca="1">IF(O$15=0,0,IF(RegimeExecucao="Global",O$15/$I$15*100,0))</f>
        <v>0</v>
      </c>
      <c r="M15" s="436">
        <f ca="1">IF(OR(ACOMPANHAMENTO="PLE",TIPOORCAMENTO="Proposto"),0,SUMIF(OFFSET($A15,1,0):$A$58,"S",OFFSET(M15,1,0):M$58))</f>
        <v>0</v>
      </c>
      <c r="N15" s="436">
        <f ca="1">O15-M15</f>
        <v>0</v>
      </c>
      <c r="O15" s="436">
        <f ca="1">IF(OR(ACOMPANHAMENTO="PLE",TIPOORCAMENTO="Proposto"),0,SUMIF(OFFSET($A15,1,0):$A$58,"S",OFFSET(O15,1,0):O$58))</f>
        <v>0</v>
      </c>
      <c r="Q15" s="437"/>
      <c r="R15" s="437"/>
      <c r="T15" s="438"/>
      <c r="U15" s="439"/>
      <c r="V15" s="439"/>
      <c r="W15" s="439"/>
      <c r="X15" s="439"/>
      <c r="Y15" s="439"/>
      <c r="Z15" s="440"/>
      <c r="AB15" s="774" t="str">
        <f ca="1">"Preencher abaixo com a "&amp;CHOOSE(MATCH(RegimeExecucao,{"Unitário","Global"},0),"QUANTIDADE","PORCENTAGEM")&amp;" executada no PERÍODO"</f>
        <v>Preencher abaixo com a QUANTIDADE executada no PERÍODO</v>
      </c>
      <c r="AC15" s="774"/>
      <c r="AD15" s="774"/>
      <c r="AE15" s="774"/>
      <c r="AF15" s="774"/>
      <c r="AG15" s="774"/>
      <c r="AH15" s="774"/>
      <c r="AI15" s="774"/>
      <c r="AJ15" s="774"/>
      <c r="AK15" s="774"/>
      <c r="AL15" s="774"/>
      <c r="AM15" s="774"/>
    </row>
    <row r="16" spans="1:41" ht="25.5" x14ac:dyDescent="0.2">
      <c r="A16">
        <f ca="1">ORÇAMENTO!C16</f>
        <v>1</v>
      </c>
      <c r="B16">
        <f ca="1">ORÇAMENTO!D16</f>
        <v>42</v>
      </c>
      <c r="C16" s="144" t="str">
        <f t="shared" ref="C16:C56" ca="1" si="1">IF(OR($I16&gt;0,$A16=1,$A16=2,$A16=3,$A16=4),"F","")</f>
        <v>F</v>
      </c>
      <c r="D16" s="147" t="str">
        <f ca="1">ORÇAMENTO!O16</f>
        <v>1.</v>
      </c>
      <c r="E16" s="207" t="str">
        <f t="shared" ref="E16:E56" si="2">ORÇAMENTO.Descricao</f>
        <v xml:space="preserve">PAVIMENTAÇÃO  EM CBUQ DE DIVERSAS VIAS DO MUNICIPIO DE SÃO FRANCISCO-MG </v>
      </c>
      <c r="F16" s="208" t="str">
        <f ca="1">IF(RegimeExecucao="Global","",ORÇAMENTO.Unidade)</f>
        <v>-</v>
      </c>
      <c r="G16" s="152">
        <f ca="1">IF(RegimeExecucao="Global","",ORÇAMENTO!T16)</f>
        <v>0</v>
      </c>
      <c r="H16" s="152">
        <f ca="1">IF(RegimeExecucao="Global","",ORÇAMENTO!W16)</f>
        <v>0</v>
      </c>
      <c r="I16" s="155">
        <f ca="1">ORÇAMENTO!X16</f>
        <v>0</v>
      </c>
      <c r="J16" s="428">
        <f ca="1">IF($A16="S",IF(CAIXA.Modo,BM.AFAnterior,BM.MEDAnterior),IF(AND(RegimeExecucao="Global",$I16&gt;0,COUNTIF($AB$13:$AM$13,BM.medicao-1)&gt;0),M16/$I16*100,0))</f>
        <v>0</v>
      </c>
      <c r="K16" s="152">
        <f t="shared" ref="K16:K56" ca="1" si="3">L16-J16</f>
        <v>0</v>
      </c>
      <c r="L16" s="429">
        <f ca="1">IF($A16="S",IF(CAIXA.Modo,BM.AFAcumulado,BM.MEDAcumulado),IF(AND(RegimeExecucao="Global",$I16&gt;0,COUNTIF($AB$13:$AM$13,BM.medicao)&gt;0),O16/$I16*100,0))</f>
        <v>0</v>
      </c>
      <c r="M16" s="430">
        <f ca="1">IF($A16="S",VTOTALBM,IF($A16=0,0,ROUND(SomaAgrupBM,15-13*ORÇAMENTO!$AF$11)))</f>
        <v>0</v>
      </c>
      <c r="N16" s="431">
        <f t="shared" ref="N16:N56" ca="1" si="4">O16-M16</f>
        <v>0</v>
      </c>
      <c r="O16" s="155">
        <f ca="1">IF($A16="S",VTOTALBM,IF($A16=0,0,ROUND(SomaAgrupBM,15-13*ORÇAMENTO!$AF$11)))</f>
        <v>0</v>
      </c>
      <c r="Q16" s="432"/>
      <c r="R16" s="433"/>
      <c r="T16" s="147" t="str">
        <f t="shared" ref="T16:T56" ca="1" si="5">IF($W16&gt;0,$D16,"")</f>
        <v/>
      </c>
      <c r="U16" s="207" t="str">
        <f t="shared" ref="U16:U56" ca="1" si="6">IF($W16&gt;0,$E16,"")</f>
        <v/>
      </c>
      <c r="V16" s="208" t="str">
        <f ca="1">IF(AND($W16&gt;0,RegimeExecucao="Unitário"),$F16,"")</f>
        <v/>
      </c>
      <c r="W16" s="633">
        <f ca="1">IF($Y16&gt;0,CHOOSE(MATCH(RegimeExecucao,{"Unitário","Global"},0),IF($A16="S",$Y16/$X16,""),($Y16/$X16)*100),0)</f>
        <v>0</v>
      </c>
      <c r="X16" s="434" t="str">
        <f ca="1">IF($Y16&gt;0,CHOOSE(MATCH(RegimeExecucao,{"Unitário","Global"},0),IF($A16="S",ROUND($H16,ORÇAMENTO!$AF$10),""),ROUND($I16,ORÇAMENTO!$AF$11)),"")</f>
        <v/>
      </c>
      <c r="Y16" s="434">
        <f t="shared" ref="Y16:Y56" ca="1" si="7">AO16-O16</f>
        <v>0</v>
      </c>
      <c r="Z16" s="660"/>
      <c r="AB16" s="432"/>
      <c r="AC16" s="599"/>
      <c r="AD16" s="599"/>
      <c r="AE16" s="599"/>
      <c r="AF16" s="599"/>
      <c r="AG16" s="599"/>
      <c r="AH16" s="599"/>
      <c r="AI16" s="599"/>
      <c r="AJ16" s="599"/>
      <c r="AK16" s="599"/>
      <c r="AL16" s="599"/>
      <c r="AM16" s="433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3</v>
      </c>
      <c r="C17" s="144" t="str">
        <f t="shared" ca="1" si="1"/>
        <v>F</v>
      </c>
      <c r="D17" s="147" t="str">
        <f ca="1">ORÇAMENTO!O17</f>
        <v>1.1.</v>
      </c>
      <c r="E17" s="207" t="str">
        <f t="shared" si="2"/>
        <v>SERVIÇOS PRELIMINARES</v>
      </c>
      <c r="F17" s="208" t="str">
        <f ca="1">IF(RegimeExecucao="Global","",ORÇAMENTO.Unidade)</f>
        <v>-</v>
      </c>
      <c r="G17" s="152">
        <f ca="1">IF(RegimeExecucao="Global","",ORÇAMENTO!T17)</f>
        <v>0</v>
      </c>
      <c r="H17" s="152">
        <f ca="1">IF(RegimeExecucao="Global","",ORÇAMENTO!W17)</f>
        <v>0</v>
      </c>
      <c r="I17" s="155">
        <f ca="1">ORÇAMENTO!X17</f>
        <v>0</v>
      </c>
      <c r="J17" s="428">
        <f ca="1">IF($A17="S",IF(CAIXA.Modo,BM.AFAnterior,BM.MEDAnterior),IF(AND(RegimeExecucao="Global",$I17&gt;0,COUNTIF($AB$13:$AM$13,BM.medicao-1)&gt;0),M17/$I17*100,0))</f>
        <v>0</v>
      </c>
      <c r="K17" s="152">
        <f t="shared" ca="1" si="3"/>
        <v>0</v>
      </c>
      <c r="L17" s="429">
        <f ca="1">IF($A17="S",IF(CAIXA.Modo,BM.AFAcumulado,BM.MEDAcumulado),IF(AND(RegimeExecucao="Global",$I17&gt;0,COUNTIF($AB$13:$AM$13,BM.medicao)&gt;0),O17/$I17*100,0))</f>
        <v>0</v>
      </c>
      <c r="M17" s="430">
        <f ca="1">IF($A17="S",VTOTALBM,IF($A17=0,0,ROUND(SomaAgrupBM,15-13*ORÇAMENTO!$AF$11)))</f>
        <v>0</v>
      </c>
      <c r="N17" s="431">
        <f t="shared" ca="1" si="4"/>
        <v>0</v>
      </c>
      <c r="O17" s="155">
        <f ca="1">IF($A17="S",VTOTALBM,IF($A17=0,0,ROUND(SomaAgrupBM,15-13*ORÇAMENTO!$AF$11)))</f>
        <v>0</v>
      </c>
      <c r="Q17" s="432"/>
      <c r="R17" s="433"/>
      <c r="T17" s="147" t="str">
        <f t="shared" ca="1" si="5"/>
        <v/>
      </c>
      <c r="U17" s="207" t="str">
        <f t="shared" ca="1" si="6"/>
        <v/>
      </c>
      <c r="V17" s="208" t="str">
        <f ca="1">IF(AND($W17&gt;0,RegimeExecucao="Unitário"),$F17,"")</f>
        <v/>
      </c>
      <c r="W17" s="633">
        <f ca="1">IF($Y17&gt;0,CHOOSE(MATCH(RegimeExecucao,{"Unitário","Global"},0),IF($A17="S",$Y17/$X17,""),($Y17/$X17)*100),0)</f>
        <v>0</v>
      </c>
      <c r="X17" s="434" t="str">
        <f ca="1">IF($Y17&gt;0,CHOOSE(MATCH(RegimeExecucao,{"Unitário","Global"},0),IF($A17="S",ROUND($H17,ORÇAMENTO!$AF$10),""),ROUND($I17,ORÇAMENTO!$AF$11)),"")</f>
        <v/>
      </c>
      <c r="Y17" s="434">
        <f t="shared" ca="1" si="7"/>
        <v>0</v>
      </c>
      <c r="Z17" s="660"/>
      <c r="AB17" s="432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433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44" t="str">
        <f t="shared" ca="1" si="1"/>
        <v/>
      </c>
      <c r="D18" s="147" t="str">
        <f ca="1">ORÇAMENTO!O18</f>
        <v>-</v>
      </c>
      <c r="E18" s="207" t="str">
        <f t="shared" ca="1" si="2"/>
        <v>(abra o arquivo 'Referência 12-2023.xlsm)</v>
      </c>
      <c r="F18" s="208" t="str">
        <f ca="1">IF(RegimeExecucao="Global","",ORÇAMENTO.Unidade)</f>
        <v>-</v>
      </c>
      <c r="G18" s="152">
        <f ca="1">IF(RegimeExecucao="Global","",ORÇAMENTO!T18)</f>
        <v>4.5</v>
      </c>
      <c r="H18" s="152">
        <f ca="1">IF(RegimeExecucao="Global","",ORÇAMENTO!W18)</f>
        <v>0</v>
      </c>
      <c r="I18" s="155">
        <f ca="1">ORÇAMENTO!X18</f>
        <v>0</v>
      </c>
      <c r="J18" s="428">
        <f ca="1">IF($A18="S",IF(CAIXA.Modo,BM.AFAnterior,BM.MEDAnterior),IF(AND(RegimeExecucao="Global",$I18&gt;0,COUNTIF($AB$13:$AM$13,BM.medicao-1)&gt;0),M18/$I18*100,0))</f>
        <v>0</v>
      </c>
      <c r="K18" s="152">
        <f t="shared" ca="1" si="3"/>
        <v>0</v>
      </c>
      <c r="L18" s="429">
        <f ca="1">IF($A18="S",IF(CAIXA.Modo,BM.AFAcumulado,BM.MEDAcumulado),IF(AND(RegimeExecucao="Global",$I18&gt;0,COUNTIF($AB$13:$AM$13,BM.medicao)&gt;0),O18/$I18*100,0))</f>
        <v>0</v>
      </c>
      <c r="M18" s="430">
        <f ca="1">IF($A18="S",VTOTALBM,IF($A18=0,0,ROUND(SomaAgrupBM,15-13*ORÇAMENTO!$AF$11)))</f>
        <v>0</v>
      </c>
      <c r="N18" s="431">
        <f t="shared" ca="1" si="4"/>
        <v>0</v>
      </c>
      <c r="O18" s="155">
        <f ca="1">IF($A18="S",VTOTALBM,IF($A18=0,0,ROUND(SomaAgrupBM,15-13*ORÇAMENTO!$AF$11)))</f>
        <v>0</v>
      </c>
      <c r="Q18" s="432"/>
      <c r="R18" s="433"/>
      <c r="T18" s="147" t="str">
        <f t="shared" ca="1" si="5"/>
        <v/>
      </c>
      <c r="U18" s="207" t="str">
        <f t="shared" ca="1" si="6"/>
        <v/>
      </c>
      <c r="V18" s="208" t="str">
        <f ca="1">IF(AND($W18&gt;0,RegimeExecucao="Unitário"),$F18,"")</f>
        <v/>
      </c>
      <c r="W18" s="633">
        <f ca="1">IF($Y18&gt;0,CHOOSE(MATCH(RegimeExecucao,{"Unitário","Global"},0),IF($A18="S",$Y18/$X18,""),($Y18/$X18)*100),0)</f>
        <v>0</v>
      </c>
      <c r="X18" s="434" t="str">
        <f ca="1">IF($Y18&gt;0,CHOOSE(MATCH(RegimeExecucao,{"Unitário","Global"},0),IF($A18="S",ROUND($H18,ORÇAMENTO!$AF$10),""),ROUND($I18,ORÇAMENTO!$AF$11)),"")</f>
        <v/>
      </c>
      <c r="Y18" s="434">
        <f t="shared" ca="1" si="7"/>
        <v>0</v>
      </c>
      <c r="Z18" s="660"/>
      <c r="AB18" s="432"/>
      <c r="AC18" s="599"/>
      <c r="AD18" s="599"/>
      <c r="AE18" s="599"/>
      <c r="AF18" s="599"/>
      <c r="AG18" s="599"/>
      <c r="AH18" s="599"/>
      <c r="AI18" s="599"/>
      <c r="AJ18" s="599"/>
      <c r="AK18" s="599"/>
      <c r="AL18" s="599"/>
      <c r="AM18" s="433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 t="str">
        <f ca="1">ORÇAMENTO!C19</f>
        <v>S</v>
      </c>
      <c r="B19">
        <f ca="1">ORÇAMENTO!D19</f>
        <v>0</v>
      </c>
      <c r="C19" s="144" t="str">
        <f t="shared" ca="1" si="1"/>
        <v/>
      </c>
      <c r="D19" s="147" t="str">
        <f ca="1">ORÇAMENTO!O19</f>
        <v>-</v>
      </c>
      <c r="E19" s="207" t="str">
        <f t="shared" ca="1" si="2"/>
        <v>(abra o arquivo 'Referência 12-2023.xlsm)</v>
      </c>
      <c r="F19" s="208" t="str">
        <f ca="1">IF(RegimeExecucao="Global","",ORÇAMENTO.Unidade)</f>
        <v>-</v>
      </c>
      <c r="G19" s="152">
        <f ca="1">IF(RegimeExecucao="Global","",ORÇAMENTO!T19)</f>
        <v>66.92</v>
      </c>
      <c r="H19" s="152">
        <f ca="1">IF(RegimeExecucao="Global","",ORÇAMENTO!W19)</f>
        <v>0</v>
      </c>
      <c r="I19" s="155">
        <f ca="1">ORÇAMENTO!X19</f>
        <v>0</v>
      </c>
      <c r="J19" s="428">
        <f ca="1">IF($A19="S",IF(CAIXA.Modo,BM.AFAnterior,BM.MEDAnterior),IF(AND(RegimeExecucao="Global",$I19&gt;0,COUNTIF($AB$13:$AM$13,BM.medicao-1)&gt;0),M19/$I19*100,0))</f>
        <v>0</v>
      </c>
      <c r="K19" s="152">
        <f t="shared" ca="1" si="3"/>
        <v>0</v>
      </c>
      <c r="L19" s="429">
        <f ca="1">IF($A19="S",IF(CAIXA.Modo,BM.AFAcumulado,BM.MEDAcumulado),IF(AND(RegimeExecucao="Global",$I19&gt;0,COUNTIF($AB$13:$AM$13,BM.medicao)&gt;0),O19/$I19*100,0))</f>
        <v>0</v>
      </c>
      <c r="M19" s="430">
        <f ca="1">IF($A19="S",VTOTALBM,IF($A19=0,0,ROUND(SomaAgrupBM,15-13*ORÇAMENTO!$AF$11)))</f>
        <v>0</v>
      </c>
      <c r="N19" s="431">
        <f t="shared" ca="1" si="4"/>
        <v>0</v>
      </c>
      <c r="O19" s="155">
        <f ca="1">IF($A19="S",VTOTALBM,IF($A19=0,0,ROUND(SomaAgrupBM,15-13*ORÇAMENTO!$AF$11)))</f>
        <v>0</v>
      </c>
      <c r="Q19" s="432"/>
      <c r="R19" s="433"/>
      <c r="T19" s="147" t="str">
        <f t="shared" ca="1" si="5"/>
        <v/>
      </c>
      <c r="U19" s="207" t="str">
        <f t="shared" ca="1" si="6"/>
        <v/>
      </c>
      <c r="V19" s="208" t="str">
        <f ca="1">IF(AND($W19&gt;0,RegimeExecucao="Unitário"),$F19,"")</f>
        <v/>
      </c>
      <c r="W19" s="633">
        <f ca="1">IF($Y19&gt;0,CHOOSE(MATCH(RegimeExecucao,{"Unitário","Global"},0),IF($A19="S",$Y19/$X19,""),($Y19/$X19)*100),0)</f>
        <v>0</v>
      </c>
      <c r="X19" s="434" t="str">
        <f ca="1">IF($Y19&gt;0,CHOOSE(MATCH(RegimeExecucao,{"Unitário","Global"},0),IF($A19="S",ROUND($H19,ORÇAMENTO!$AF$10),""),ROUND($I19,ORÇAMENTO!$AF$11)),"")</f>
        <v/>
      </c>
      <c r="Y19" s="434">
        <f t="shared" ca="1" si="7"/>
        <v>0</v>
      </c>
      <c r="Z19" s="660"/>
      <c r="AB19" s="432"/>
      <c r="AC19" s="599"/>
      <c r="AD19" s="599"/>
      <c r="AE19" s="599"/>
      <c r="AF19" s="599"/>
      <c r="AG19" s="599"/>
      <c r="AH19" s="599"/>
      <c r="AI19" s="599"/>
      <c r="AJ19" s="599"/>
      <c r="AK19" s="599"/>
      <c r="AL19" s="599"/>
      <c r="AM19" s="433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x14ac:dyDescent="0.2">
      <c r="A20">
        <f ca="1">ORÇAMENTO!C20</f>
        <v>2</v>
      </c>
      <c r="B20">
        <f ca="1">ORÇAMENTO!D20</f>
        <v>10</v>
      </c>
      <c r="C20" s="144" t="str">
        <f t="shared" ca="1" si="1"/>
        <v>F</v>
      </c>
      <c r="D20" s="147" t="str">
        <f ca="1">ORÇAMENTO!O20</f>
        <v>1.2.</v>
      </c>
      <c r="E20" s="207" t="str">
        <f t="shared" si="2"/>
        <v xml:space="preserve">TERRAPLANAGEM </v>
      </c>
      <c r="F20" s="208" t="str">
        <f ca="1">IF(RegimeExecucao="Global","",ORÇAMENTO.Unidade)</f>
        <v>-</v>
      </c>
      <c r="G20" s="152">
        <f ca="1">IF(RegimeExecucao="Global","",ORÇAMENTO!T20)</f>
        <v>0</v>
      </c>
      <c r="H20" s="152">
        <f ca="1">IF(RegimeExecucao="Global","",ORÇAMENTO!W20)</f>
        <v>0</v>
      </c>
      <c r="I20" s="155">
        <f ca="1">ORÇAMENTO!X20</f>
        <v>0</v>
      </c>
      <c r="J20" s="428">
        <f ca="1">IF($A20="S",IF(CAIXA.Modo,BM.AFAnterior,BM.MEDAnterior),IF(AND(RegimeExecucao="Global",$I20&gt;0,COUNTIF($AB$13:$AM$13,BM.medicao-1)&gt;0),M20/$I20*100,0))</f>
        <v>0</v>
      </c>
      <c r="K20" s="152">
        <f t="shared" ca="1" si="3"/>
        <v>0</v>
      </c>
      <c r="L20" s="429">
        <f ca="1">IF($A20="S",IF(CAIXA.Modo,BM.AFAcumulado,BM.MEDAcumulado),IF(AND(RegimeExecucao="Global",$I20&gt;0,COUNTIF($AB$13:$AM$13,BM.medicao)&gt;0),O20/$I20*100,0))</f>
        <v>0</v>
      </c>
      <c r="M20" s="430">
        <f ca="1">IF($A20="S",VTOTALBM,IF($A20=0,0,ROUND(SomaAgrupBM,15-13*ORÇAMENTO!$AF$11)))</f>
        <v>0</v>
      </c>
      <c r="N20" s="431">
        <f t="shared" ca="1" si="4"/>
        <v>0</v>
      </c>
      <c r="O20" s="155">
        <f ca="1">IF($A20="S",VTOTALBM,IF($A20=0,0,ROUND(SomaAgrupBM,15-13*ORÇAMENTO!$AF$11)))</f>
        <v>0</v>
      </c>
      <c r="Q20" s="432"/>
      <c r="R20" s="433"/>
      <c r="T20" s="147" t="str">
        <f t="shared" ca="1" si="5"/>
        <v/>
      </c>
      <c r="U20" s="207" t="str">
        <f t="shared" ca="1" si="6"/>
        <v/>
      </c>
      <c r="V20" s="208" t="str">
        <f ca="1">IF(AND($W20&gt;0,RegimeExecucao="Unitário"),$F20,"")</f>
        <v/>
      </c>
      <c r="W20" s="633">
        <f ca="1">IF($Y20&gt;0,CHOOSE(MATCH(RegimeExecucao,{"Unitário","Global"},0),IF($A20="S",$Y20/$X20,""),($Y20/$X20)*100),0)</f>
        <v>0</v>
      </c>
      <c r="X20" s="434" t="str">
        <f ca="1">IF($Y20&gt;0,CHOOSE(MATCH(RegimeExecucao,{"Unitário","Global"},0),IF($A20="S",ROUND($H20,ORÇAMENTO!$AF$10),""),ROUND($I20,ORÇAMENTO!$AF$11)),"")</f>
        <v/>
      </c>
      <c r="Y20" s="434">
        <f t="shared" ca="1" si="7"/>
        <v>0</v>
      </c>
      <c r="Z20" s="660"/>
      <c r="AB20" s="432"/>
      <c r="AC20" s="599"/>
      <c r="AD20" s="599"/>
      <c r="AE20" s="599"/>
      <c r="AF20" s="599"/>
      <c r="AG20" s="599"/>
      <c r="AH20" s="599"/>
      <c r="AI20" s="599"/>
      <c r="AJ20" s="599"/>
      <c r="AK20" s="599"/>
      <c r="AL20" s="599"/>
      <c r="AM20" s="433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44" t="str">
        <f t="shared" ca="1" si="1"/>
        <v/>
      </c>
      <c r="D21" s="147" t="str">
        <f ca="1">ORÇAMENTO!O21</f>
        <v>-</v>
      </c>
      <c r="E21" s="207" t="str">
        <f t="shared" ca="1" si="2"/>
        <v>(abra o arquivo 'Referência 12-2023.xlsm)</v>
      </c>
      <c r="F21" s="208" t="str">
        <f ca="1">IF(RegimeExecucao="Global","",ORÇAMENTO.Unidade)</f>
        <v>-</v>
      </c>
      <c r="G21" s="152">
        <f ca="1">IF(RegimeExecucao="Global","",ORÇAMENTO!T21)</f>
        <v>13307.249999999998</v>
      </c>
      <c r="H21" s="152">
        <f ca="1">IF(RegimeExecucao="Global","",ORÇAMENTO!W21)</f>
        <v>0</v>
      </c>
      <c r="I21" s="155">
        <f ca="1">ORÇAMENTO!X21</f>
        <v>0</v>
      </c>
      <c r="J21" s="428">
        <f ca="1">IF($A21="S",IF(CAIXA.Modo,BM.AFAnterior,BM.MEDAnterior),IF(AND(RegimeExecucao="Global",$I21&gt;0,COUNTIF($AB$13:$AM$13,BM.medicao-1)&gt;0),M21/$I21*100,0))</f>
        <v>0</v>
      </c>
      <c r="K21" s="152">
        <f t="shared" ca="1" si="3"/>
        <v>0</v>
      </c>
      <c r="L21" s="429">
        <f ca="1">IF($A21="S",IF(CAIXA.Modo,BM.AFAcumulado,BM.MEDAcumulado),IF(AND(RegimeExecucao="Global",$I21&gt;0,COUNTIF($AB$13:$AM$13,BM.medicao)&gt;0),O21/$I21*100,0))</f>
        <v>0</v>
      </c>
      <c r="M21" s="430">
        <f ca="1">IF($A21="S",VTOTALBM,IF($A21=0,0,ROUND(SomaAgrupBM,15-13*ORÇAMENTO!$AF$11)))</f>
        <v>0</v>
      </c>
      <c r="N21" s="431">
        <f t="shared" ca="1" si="4"/>
        <v>0</v>
      </c>
      <c r="O21" s="155">
        <f ca="1">IF($A21="S",VTOTALBM,IF($A21=0,0,ROUND(SomaAgrupBM,15-13*ORÇAMENTO!$AF$11)))</f>
        <v>0</v>
      </c>
      <c r="Q21" s="432"/>
      <c r="R21" s="433"/>
      <c r="T21" s="147" t="str">
        <f t="shared" ca="1" si="5"/>
        <v/>
      </c>
      <c r="U21" s="207" t="str">
        <f t="shared" ca="1" si="6"/>
        <v/>
      </c>
      <c r="V21" s="208" t="str">
        <f ca="1">IF(AND($W21&gt;0,RegimeExecucao="Unitário"),$F21,"")</f>
        <v/>
      </c>
      <c r="W21" s="633">
        <f ca="1">IF($Y21&gt;0,CHOOSE(MATCH(RegimeExecucao,{"Unitário","Global"},0),IF($A21="S",$Y21/$X21,""),($Y21/$X21)*100),0)</f>
        <v>0</v>
      </c>
      <c r="X21" s="434" t="str">
        <f ca="1">IF($Y21&gt;0,CHOOSE(MATCH(RegimeExecucao,{"Unitário","Global"},0),IF($A21="S",ROUND($H21,ORÇAMENTO!$AF$10),""),ROUND($I21,ORÇAMENTO!$AF$11)),"")</f>
        <v/>
      </c>
      <c r="Y21" s="434">
        <f t="shared" ca="1" si="7"/>
        <v>0</v>
      </c>
      <c r="Z21" s="660"/>
      <c r="AB21" s="432"/>
      <c r="AC21" s="599"/>
      <c r="AD21" s="599"/>
      <c r="AE21" s="599"/>
      <c r="AF21" s="599"/>
      <c r="AG21" s="599"/>
      <c r="AH21" s="599"/>
      <c r="AI21" s="599"/>
      <c r="AJ21" s="599"/>
      <c r="AK21" s="599"/>
      <c r="AL21" s="599"/>
      <c r="AM21" s="433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 t="str">
        <f ca="1">ORÇAMENTO!C22</f>
        <v>S</v>
      </c>
      <c r="B22">
        <f ca="1">ORÇAMENTO!D22</f>
        <v>0</v>
      </c>
      <c r="C22" s="144" t="str">
        <f t="shared" ca="1" si="1"/>
        <v/>
      </c>
      <c r="D22" s="147" t="str">
        <f ca="1">ORÇAMENTO!O22</f>
        <v>-</v>
      </c>
      <c r="E22" s="207" t="str">
        <f t="shared" ca="1" si="2"/>
        <v>(abra o arquivo 'Referência 12-2023.xlsm)</v>
      </c>
      <c r="F22" s="208" t="str">
        <f ca="1">IF(RegimeExecucao="Global","",ORÇAMENTO.Unidade)</f>
        <v>-</v>
      </c>
      <c r="G22" s="152">
        <f ca="1">IF(RegimeExecucao="Global","",ORÇAMENTO!T22)</f>
        <v>9467.74</v>
      </c>
      <c r="H22" s="152">
        <f ca="1">IF(RegimeExecucao="Global","",ORÇAMENTO!W22)</f>
        <v>0</v>
      </c>
      <c r="I22" s="155">
        <f ca="1">ORÇAMENTO!X22</f>
        <v>0</v>
      </c>
      <c r="J22" s="428">
        <f ca="1">IF($A22="S",IF(CAIXA.Modo,BM.AFAnterior,BM.MEDAnterior),IF(AND(RegimeExecucao="Global",$I22&gt;0,COUNTIF($AB$13:$AM$13,BM.medicao-1)&gt;0),M22/$I22*100,0))</f>
        <v>0</v>
      </c>
      <c r="K22" s="152">
        <f t="shared" ca="1" si="3"/>
        <v>0</v>
      </c>
      <c r="L22" s="429">
        <f ca="1">IF($A22="S",IF(CAIXA.Modo,BM.AFAcumulado,BM.MEDAcumulado),IF(AND(RegimeExecucao="Global",$I22&gt;0,COUNTIF($AB$13:$AM$13,BM.medicao)&gt;0),O22/$I22*100,0))</f>
        <v>0</v>
      </c>
      <c r="M22" s="430">
        <f ca="1">IF($A22="S",VTOTALBM,IF($A22=0,0,ROUND(SomaAgrupBM,15-13*ORÇAMENTO!$AF$11)))</f>
        <v>0</v>
      </c>
      <c r="N22" s="431">
        <f t="shared" ca="1" si="4"/>
        <v>0</v>
      </c>
      <c r="O22" s="155">
        <f ca="1">IF($A22="S",VTOTALBM,IF($A22=0,0,ROUND(SomaAgrupBM,15-13*ORÇAMENTO!$AF$11)))</f>
        <v>0</v>
      </c>
      <c r="Q22" s="432"/>
      <c r="R22" s="433"/>
      <c r="T22" s="147" t="str">
        <f t="shared" ca="1" si="5"/>
        <v/>
      </c>
      <c r="U22" s="207" t="str">
        <f t="shared" ca="1" si="6"/>
        <v/>
      </c>
      <c r="V22" s="208" t="str">
        <f ca="1">IF(AND($W22&gt;0,RegimeExecucao="Unitário"),$F22,"")</f>
        <v/>
      </c>
      <c r="W22" s="633">
        <f ca="1">IF($Y22&gt;0,CHOOSE(MATCH(RegimeExecucao,{"Unitário","Global"},0),IF($A22="S",$Y22/$X22,""),($Y22/$X22)*100),0)</f>
        <v>0</v>
      </c>
      <c r="X22" s="434" t="str">
        <f ca="1">IF($Y22&gt;0,CHOOSE(MATCH(RegimeExecucao,{"Unitário","Global"},0),IF($A22="S",ROUND($H22,ORÇAMENTO!$AF$10),""),ROUND($I22,ORÇAMENTO!$AF$11)),"")</f>
        <v/>
      </c>
      <c r="Y22" s="434">
        <f t="shared" ca="1" si="7"/>
        <v>0</v>
      </c>
      <c r="Z22" s="660"/>
      <c r="AB22" s="432"/>
      <c r="AC22" s="599"/>
      <c r="AD22" s="599"/>
      <c r="AE22" s="599"/>
      <c r="AF22" s="599"/>
      <c r="AG22" s="599"/>
      <c r="AH22" s="599"/>
      <c r="AI22" s="599"/>
      <c r="AJ22" s="599"/>
      <c r="AK22" s="599"/>
      <c r="AL22" s="599"/>
      <c r="AM22" s="433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x14ac:dyDescent="0.2">
      <c r="A23" t="str">
        <f ca="1">ORÇAMENTO!C23</f>
        <v>S</v>
      </c>
      <c r="B23">
        <f ca="1">ORÇAMENTO!D23</f>
        <v>0</v>
      </c>
      <c r="C23" s="144" t="str">
        <f t="shared" ca="1" si="1"/>
        <v/>
      </c>
      <c r="D23" s="147" t="str">
        <f ca="1">ORÇAMENTO!O23</f>
        <v>-</v>
      </c>
      <c r="E23" s="207" t="str">
        <f t="shared" ca="1" si="2"/>
        <v>(abra o arquivo 'Referência 12-2023.xlsm)</v>
      </c>
      <c r="F23" s="208" t="str">
        <f ca="1">IF(RegimeExecucao="Global","",ORÇAMENTO.Unidade)</f>
        <v>-</v>
      </c>
      <c r="G23" s="152">
        <f ca="1">IF(RegimeExecucao="Global","",ORÇAMENTO!T23)</f>
        <v>9467.74</v>
      </c>
      <c r="H23" s="152">
        <f ca="1">IF(RegimeExecucao="Global","",ORÇAMENTO!W23)</f>
        <v>0</v>
      </c>
      <c r="I23" s="155">
        <f ca="1">ORÇAMENTO!X23</f>
        <v>0</v>
      </c>
      <c r="J23" s="428">
        <f ca="1">IF($A23="S",IF(CAIXA.Modo,BM.AFAnterior,BM.MEDAnterior),IF(AND(RegimeExecucao="Global",$I23&gt;0,COUNTIF($AB$13:$AM$13,BM.medicao-1)&gt;0),M23/$I23*100,0))</f>
        <v>0</v>
      </c>
      <c r="K23" s="152">
        <f t="shared" ca="1" si="3"/>
        <v>0</v>
      </c>
      <c r="L23" s="429">
        <f ca="1">IF($A23="S",IF(CAIXA.Modo,BM.AFAcumulado,BM.MEDAcumulado),IF(AND(RegimeExecucao="Global",$I23&gt;0,COUNTIF($AB$13:$AM$13,BM.medicao)&gt;0),O23/$I23*100,0))</f>
        <v>0</v>
      </c>
      <c r="M23" s="430">
        <f ca="1">IF($A23="S",VTOTALBM,IF($A23=0,0,ROUND(SomaAgrupBM,15-13*ORÇAMENTO!$AF$11)))</f>
        <v>0</v>
      </c>
      <c r="N23" s="431">
        <f t="shared" ca="1" si="4"/>
        <v>0</v>
      </c>
      <c r="O23" s="155">
        <f ca="1">IF($A23="S",VTOTALBM,IF($A23=0,0,ROUND(SomaAgrupBM,15-13*ORÇAMENTO!$AF$11)))</f>
        <v>0</v>
      </c>
      <c r="Q23" s="432"/>
      <c r="R23" s="433"/>
      <c r="T23" s="147" t="str">
        <f t="shared" ca="1" si="5"/>
        <v/>
      </c>
      <c r="U23" s="207" t="str">
        <f t="shared" ca="1" si="6"/>
        <v/>
      </c>
      <c r="V23" s="208" t="str">
        <f ca="1">IF(AND($W23&gt;0,RegimeExecucao="Unitário"),$F23,"")</f>
        <v/>
      </c>
      <c r="W23" s="633">
        <f ca="1">IF($Y23&gt;0,CHOOSE(MATCH(RegimeExecucao,{"Unitário","Global"},0),IF($A23="S",$Y23/$X23,""),($Y23/$X23)*100),0)</f>
        <v>0</v>
      </c>
      <c r="X23" s="434" t="str">
        <f ca="1">IF($Y23&gt;0,CHOOSE(MATCH(RegimeExecucao,{"Unitário","Global"},0),IF($A23="S",ROUND($H23,ORÇAMENTO!$AF$10),""),ROUND($I23,ORÇAMENTO!$AF$11)),"")</f>
        <v/>
      </c>
      <c r="Y23" s="434">
        <f t="shared" ca="1" si="7"/>
        <v>0</v>
      </c>
      <c r="Z23" s="660"/>
      <c r="AB23" s="432"/>
      <c r="AC23" s="599"/>
      <c r="AD23" s="599"/>
      <c r="AE23" s="599"/>
      <c r="AF23" s="599"/>
      <c r="AG23" s="599"/>
      <c r="AH23" s="599"/>
      <c r="AI23" s="599"/>
      <c r="AJ23" s="599"/>
      <c r="AK23" s="599"/>
      <c r="AL23" s="599"/>
      <c r="AM23" s="433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 t="str">
        <f ca="1">ORÇAMENTO!C24</f>
        <v>S</v>
      </c>
      <c r="B24">
        <f ca="1">ORÇAMENTO!D24</f>
        <v>0</v>
      </c>
      <c r="C24" s="144" t="str">
        <f t="shared" ca="1" si="1"/>
        <v/>
      </c>
      <c r="D24" s="147" t="str">
        <f ca="1">ORÇAMENTO!O24</f>
        <v>-</v>
      </c>
      <c r="E24" s="207" t="str">
        <f t="shared" ca="1" si="2"/>
        <v>(abra o arquivo 'Referência 12-2023.xlsm)</v>
      </c>
      <c r="F24" s="208" t="str">
        <f ca="1">IF(RegimeExecucao="Global","",ORÇAMENTO.Unidade)</f>
        <v>-</v>
      </c>
      <c r="G24" s="152">
        <f ca="1">IF(RegimeExecucao="Global","",ORÇAMENTO!T24)</f>
        <v>6627.42</v>
      </c>
      <c r="H24" s="152">
        <f ca="1">IF(RegimeExecucao="Global","",ORÇAMENTO!W24)</f>
        <v>0</v>
      </c>
      <c r="I24" s="155">
        <f ca="1">ORÇAMENTO!X24</f>
        <v>0</v>
      </c>
      <c r="J24" s="428">
        <f ca="1">IF($A24="S",IF(CAIXA.Modo,BM.AFAnterior,BM.MEDAnterior),IF(AND(RegimeExecucao="Global",$I24&gt;0,COUNTIF($AB$13:$AM$13,BM.medicao-1)&gt;0),M24/$I24*100,0))</f>
        <v>0</v>
      </c>
      <c r="K24" s="152">
        <f t="shared" ca="1" si="3"/>
        <v>0</v>
      </c>
      <c r="L24" s="429">
        <f ca="1">IF($A24="S",IF(CAIXA.Modo,BM.AFAcumulado,BM.MEDAcumulado),IF(AND(RegimeExecucao="Global",$I24&gt;0,COUNTIF($AB$13:$AM$13,BM.medicao)&gt;0),O24/$I24*100,0))</f>
        <v>0</v>
      </c>
      <c r="M24" s="430">
        <f ca="1">IF($A24="S",VTOTALBM,IF($A24=0,0,ROUND(SomaAgrupBM,15-13*ORÇAMENTO!$AF$11)))</f>
        <v>0</v>
      </c>
      <c r="N24" s="431">
        <f t="shared" ca="1" si="4"/>
        <v>0</v>
      </c>
      <c r="O24" s="155">
        <f ca="1">IF($A24="S",VTOTALBM,IF($A24=0,0,ROUND(SomaAgrupBM,15-13*ORÇAMENTO!$AF$11)))</f>
        <v>0</v>
      </c>
      <c r="Q24" s="432"/>
      <c r="R24" s="433"/>
      <c r="T24" s="147" t="str">
        <f t="shared" ca="1" si="5"/>
        <v/>
      </c>
      <c r="U24" s="207" t="str">
        <f t="shared" ca="1" si="6"/>
        <v/>
      </c>
      <c r="V24" s="208" t="str">
        <f ca="1">IF(AND($W24&gt;0,RegimeExecucao="Unitário"),$F24,"")</f>
        <v/>
      </c>
      <c r="W24" s="633">
        <f ca="1">IF($Y24&gt;0,CHOOSE(MATCH(RegimeExecucao,{"Unitário","Global"},0),IF($A24="S",$Y24/$X24,""),($Y24/$X24)*100),0)</f>
        <v>0</v>
      </c>
      <c r="X24" s="434" t="str">
        <f ca="1">IF($Y24&gt;0,CHOOSE(MATCH(RegimeExecucao,{"Unitário","Global"},0),IF($A24="S",ROUND($H24,ORÇAMENTO!$AF$10),""),ROUND($I24,ORÇAMENTO!$AF$11)),"")</f>
        <v/>
      </c>
      <c r="Y24" s="434">
        <f t="shared" ca="1" si="7"/>
        <v>0</v>
      </c>
      <c r="Z24" s="660"/>
      <c r="AB24" s="432"/>
      <c r="AC24" s="599"/>
      <c r="AD24" s="599"/>
      <c r="AE24" s="599"/>
      <c r="AF24" s="599"/>
      <c r="AG24" s="599"/>
      <c r="AH24" s="599"/>
      <c r="AI24" s="599"/>
      <c r="AJ24" s="599"/>
      <c r="AK24" s="599"/>
      <c r="AL24" s="599"/>
      <c r="AM24" s="433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 t="str">
        <f ca="1">ORÇAMENTO!C25</f>
        <v>S</v>
      </c>
      <c r="B25">
        <f ca="1">ORÇAMENTO!D25</f>
        <v>0</v>
      </c>
      <c r="C25" s="144" t="str">
        <f t="shared" ca="1" si="1"/>
        <v/>
      </c>
      <c r="D25" s="147" t="str">
        <f ca="1">ORÇAMENTO!O25</f>
        <v>-</v>
      </c>
      <c r="E25" s="207" t="str">
        <f t="shared" ca="1" si="2"/>
        <v>(abra o arquivo 'Referência 12-2023.xlsm)</v>
      </c>
      <c r="F25" s="208" t="str">
        <f ca="1">IF(RegimeExecucao="Global","",ORÇAMENTO.Unidade)</f>
        <v>-</v>
      </c>
      <c r="G25" s="152">
        <f ca="1">IF(RegimeExecucao="Global","",ORÇAMENTO!T25)</f>
        <v>31559.17</v>
      </c>
      <c r="H25" s="152">
        <f ca="1">IF(RegimeExecucao="Global","",ORÇAMENTO!W25)</f>
        <v>0</v>
      </c>
      <c r="I25" s="155">
        <f ca="1">ORÇAMENTO!X25</f>
        <v>0</v>
      </c>
      <c r="J25" s="428">
        <f ca="1">IF($A25="S",IF(CAIXA.Modo,BM.AFAnterior,BM.MEDAnterior),IF(AND(RegimeExecucao="Global",$I25&gt;0,COUNTIF($AB$13:$AM$13,BM.medicao-1)&gt;0),M25/$I25*100,0))</f>
        <v>0</v>
      </c>
      <c r="K25" s="152">
        <f t="shared" ca="1" si="3"/>
        <v>0</v>
      </c>
      <c r="L25" s="429">
        <f ca="1">IF($A25="S",IF(CAIXA.Modo,BM.AFAcumulado,BM.MEDAcumulado),IF(AND(RegimeExecucao="Global",$I25&gt;0,COUNTIF($AB$13:$AM$13,BM.medicao)&gt;0),O25/$I25*100,0))</f>
        <v>0</v>
      </c>
      <c r="M25" s="430">
        <f ca="1">IF($A25="S",VTOTALBM,IF($A25=0,0,ROUND(SomaAgrupBM,15-13*ORÇAMENTO!$AF$11)))</f>
        <v>0</v>
      </c>
      <c r="N25" s="431">
        <f t="shared" ca="1" si="4"/>
        <v>0</v>
      </c>
      <c r="O25" s="155">
        <f ca="1">IF($A25="S",VTOTALBM,IF($A25=0,0,ROUND(SomaAgrupBM,15-13*ORÇAMENTO!$AF$11)))</f>
        <v>0</v>
      </c>
      <c r="Q25" s="432"/>
      <c r="R25" s="433"/>
      <c r="T25" s="147" t="str">
        <f t="shared" ca="1" si="5"/>
        <v/>
      </c>
      <c r="U25" s="207" t="str">
        <f t="shared" ca="1" si="6"/>
        <v/>
      </c>
      <c r="V25" s="208" t="str">
        <f ca="1">IF(AND($W25&gt;0,RegimeExecucao="Unitário"),$F25,"")</f>
        <v/>
      </c>
      <c r="W25" s="633">
        <f ca="1">IF($Y25&gt;0,CHOOSE(MATCH(RegimeExecucao,{"Unitário","Global"},0),IF($A25="S",$Y25/$X25,""),($Y25/$X25)*100),0)</f>
        <v>0</v>
      </c>
      <c r="X25" s="434" t="str">
        <f ca="1">IF($Y25&gt;0,CHOOSE(MATCH(RegimeExecucao,{"Unitário","Global"},0),IF($A25="S",ROUND($H25,ORÇAMENTO!$AF$10),""),ROUND($I25,ORÇAMENTO!$AF$11)),"")</f>
        <v/>
      </c>
      <c r="Y25" s="434">
        <f t="shared" ca="1" si="7"/>
        <v>0</v>
      </c>
      <c r="Z25" s="660"/>
      <c r="AB25" s="432"/>
      <c r="AC25" s="599"/>
      <c r="AD25" s="599"/>
      <c r="AE25" s="599"/>
      <c r="AF25" s="599"/>
      <c r="AG25" s="599"/>
      <c r="AH25" s="599"/>
      <c r="AI25" s="599"/>
      <c r="AJ25" s="599"/>
      <c r="AK25" s="599"/>
      <c r="AL25" s="599"/>
      <c r="AM25" s="433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x14ac:dyDescent="0.2">
      <c r="A26" t="str">
        <f ca="1">ORÇAMENTO!C26</f>
        <v>S</v>
      </c>
      <c r="B26">
        <f ca="1">ORÇAMENTO!D26</f>
        <v>0</v>
      </c>
      <c r="C26" s="144" t="str">
        <f t="shared" ca="1" si="1"/>
        <v/>
      </c>
      <c r="D26" s="147" t="str">
        <f ca="1">ORÇAMENTO!O26</f>
        <v>-</v>
      </c>
      <c r="E26" s="207" t="str">
        <f t="shared" ca="1" si="2"/>
        <v>(abra o arquivo 'Referência 12-2023.xlsm)</v>
      </c>
      <c r="F26" s="208" t="str">
        <f ca="1">IF(RegimeExecucao="Global","",ORÇAMENTO.Unidade)</f>
        <v>-</v>
      </c>
      <c r="G26" s="152">
        <f ca="1">IF(RegimeExecucao="Global","",ORÇAMENTO!T26)</f>
        <v>3237.97</v>
      </c>
      <c r="H26" s="152">
        <f ca="1">IF(RegimeExecucao="Global","",ORÇAMENTO!W26)</f>
        <v>0</v>
      </c>
      <c r="I26" s="155">
        <f ca="1">ORÇAMENTO!X26</f>
        <v>0</v>
      </c>
      <c r="J26" s="428">
        <f ca="1">IF($A26="S",IF(CAIXA.Modo,BM.AFAnterior,BM.MEDAnterior),IF(AND(RegimeExecucao="Global",$I26&gt;0,COUNTIF($AB$13:$AM$13,BM.medicao-1)&gt;0),M26/$I26*100,0))</f>
        <v>0</v>
      </c>
      <c r="K26" s="152">
        <f t="shared" ca="1" si="3"/>
        <v>0</v>
      </c>
      <c r="L26" s="429">
        <f ca="1">IF($A26="S",IF(CAIXA.Modo,BM.AFAcumulado,BM.MEDAcumulado),IF(AND(RegimeExecucao="Global",$I26&gt;0,COUNTIF($AB$13:$AM$13,BM.medicao)&gt;0),O26/$I26*100,0))</f>
        <v>0</v>
      </c>
      <c r="M26" s="430">
        <f ca="1">IF($A26="S",VTOTALBM,IF($A26=0,0,ROUND(SomaAgrupBM,15-13*ORÇAMENTO!$AF$11)))</f>
        <v>0</v>
      </c>
      <c r="N26" s="431">
        <f t="shared" ca="1" si="4"/>
        <v>0</v>
      </c>
      <c r="O26" s="155">
        <f ca="1">IF($A26="S",VTOTALBM,IF($A26=0,0,ROUND(SomaAgrupBM,15-13*ORÇAMENTO!$AF$11)))</f>
        <v>0</v>
      </c>
      <c r="Q26" s="432"/>
      <c r="R26" s="433"/>
      <c r="T26" s="147" t="str">
        <f t="shared" ca="1" si="5"/>
        <v/>
      </c>
      <c r="U26" s="207" t="str">
        <f t="shared" ca="1" si="6"/>
        <v/>
      </c>
      <c r="V26" s="208" t="str">
        <f ca="1">IF(AND($W26&gt;0,RegimeExecucao="Unitário"),$F26,"")</f>
        <v/>
      </c>
      <c r="W26" s="633">
        <f ca="1">IF($Y26&gt;0,CHOOSE(MATCH(RegimeExecucao,{"Unitário","Global"},0),IF($A26="S",$Y26/$X26,""),($Y26/$X26)*100),0)</f>
        <v>0</v>
      </c>
      <c r="X26" s="434" t="str">
        <f ca="1">IF($Y26&gt;0,CHOOSE(MATCH(RegimeExecucao,{"Unitário","Global"},0),IF($A26="S",ROUND($H26,ORÇAMENTO!$AF$10),""),ROUND($I26,ORÇAMENTO!$AF$11)),"")</f>
        <v/>
      </c>
      <c r="Y26" s="434">
        <f t="shared" ca="1" si="7"/>
        <v>0</v>
      </c>
      <c r="Z26" s="660"/>
      <c r="AB26" s="432"/>
      <c r="AC26" s="599"/>
      <c r="AD26" s="599"/>
      <c r="AE26" s="599"/>
      <c r="AF26" s="599"/>
      <c r="AG26" s="599"/>
      <c r="AH26" s="599"/>
      <c r="AI26" s="599"/>
      <c r="AJ26" s="599"/>
      <c r="AK26" s="599"/>
      <c r="AL26" s="599"/>
      <c r="AM26" s="433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x14ac:dyDescent="0.2">
      <c r="A27" t="str">
        <f ca="1">ORÇAMENTO!C27</f>
        <v>S</v>
      </c>
      <c r="B27">
        <f ca="1">ORÇAMENTO!D27</f>
        <v>0</v>
      </c>
      <c r="C27" s="144" t="str">
        <f ca="1">IF(OR($I27&gt;0,$A27=1,$A27=2,$A27=3,$A27=4),"F","")</f>
        <v/>
      </c>
      <c r="D27" s="147" t="str">
        <f ca="1">ORÇAMENTO!O27</f>
        <v>-</v>
      </c>
      <c r="E27" s="207" t="str">
        <f ca="1">ORÇAMENTO.Descricao</f>
        <v>(abra o arquivo 'Referência 12-2023.xlsm)</v>
      </c>
      <c r="F27" s="208" t="str">
        <f ca="1">IF(RegimeExecucao="Global","",ORÇAMENTO.Unidade)</f>
        <v>-</v>
      </c>
      <c r="G27" s="152">
        <f ca="1">IF(RegimeExecucao="Global","",ORÇAMENTO!T27)</f>
        <v>27014.65</v>
      </c>
      <c r="H27" s="152">
        <f ca="1">IF(RegimeExecucao="Global","",ORÇAMENTO!W27)</f>
        <v>0</v>
      </c>
      <c r="I27" s="155">
        <f ca="1">ORÇAMENTO!X27</f>
        <v>0</v>
      </c>
      <c r="J27" s="428">
        <f ca="1">IF($A27="S",IF(CAIXA.Modo,BM.AFAnterior,BM.MEDAnterior),IF(AND(RegimeExecucao="Global",$I27&gt;0,COUNTIF($AB$13:$AM$13,BM.medicao-1)&gt;0),M27/$I27*100,0))</f>
        <v>0</v>
      </c>
      <c r="K27" s="152">
        <f ca="1">L27-J27</f>
        <v>0</v>
      </c>
      <c r="L27" s="429">
        <f ca="1">IF($A27="S",IF(CAIXA.Modo,BM.AFAcumulado,BM.MEDAcumulado),IF(AND(RegimeExecucao="Global",$I27&gt;0,COUNTIF($AB$13:$AM$13,BM.medicao)&gt;0),O27/$I27*100,0))</f>
        <v>0</v>
      </c>
      <c r="M27" s="430">
        <f ca="1">IF($A27="S",VTOTALBM,IF($A27=0,0,ROUND(SomaAgrupBM,15-13*ORÇAMENTO!$AF$11)))</f>
        <v>0</v>
      </c>
      <c r="N27" s="431">
        <f ca="1">O27-M27</f>
        <v>0</v>
      </c>
      <c r="O27" s="155">
        <f ca="1">IF($A27="S",VTOTALBM,IF($A27=0,0,ROUND(SomaAgrupBM,15-13*ORÇAMENTO!$AF$11)))</f>
        <v>0</v>
      </c>
      <c r="Q27" s="432"/>
      <c r="R27" s="433"/>
      <c r="T27" s="147" t="str">
        <f ca="1">IF($W27&gt;0,$D27,"")</f>
        <v/>
      </c>
      <c r="U27" s="207" t="str">
        <f ca="1">IF($W27&gt;0,$E27,"")</f>
        <v/>
      </c>
      <c r="V27" s="208" t="str">
        <f ca="1">IF(AND($W27&gt;0,RegimeExecucao="Unitário"),$F27,"")</f>
        <v/>
      </c>
      <c r="W27" s="633">
        <f ca="1">IF($Y27&gt;0,CHOOSE(MATCH(RegimeExecucao,{"Unitário","Global"},0),IF($A27="S",$Y27/$X27,""),($Y27/$X27)*100),0)</f>
        <v>0</v>
      </c>
      <c r="X27" s="434" t="str">
        <f ca="1">IF($Y27&gt;0,CHOOSE(MATCH(RegimeExecucao,{"Unitário","Global"},0),IF($A27="S",ROUND($H27,ORÇAMENTO!$AF$10),""),ROUND($I27,ORÇAMENTO!$AF$11)),"")</f>
        <v/>
      </c>
      <c r="Y27" s="434">
        <f ca="1">AO27-O27</f>
        <v>0</v>
      </c>
      <c r="Z27" s="660"/>
      <c r="AB27" s="432"/>
      <c r="AC27" s="599"/>
      <c r="AD27" s="599"/>
      <c r="AE27" s="599"/>
      <c r="AF27" s="599"/>
      <c r="AG27" s="599"/>
      <c r="AH27" s="599"/>
      <c r="AI27" s="599"/>
      <c r="AJ27" s="599"/>
      <c r="AK27" s="599"/>
      <c r="AL27" s="599"/>
      <c r="AM27" s="433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x14ac:dyDescent="0.2">
      <c r="A28" t="str">
        <f ca="1">ORÇAMENTO!C28</f>
        <v>S</v>
      </c>
      <c r="B28">
        <f ca="1">ORÇAMENTO!D28</f>
        <v>0</v>
      </c>
      <c r="C28" s="144" t="str">
        <f t="shared" ca="1" si="1"/>
        <v/>
      </c>
      <c r="D28" s="147" t="str">
        <f ca="1">ORÇAMENTO!O28</f>
        <v>-</v>
      </c>
      <c r="E28" s="207" t="str">
        <f t="shared" ca="1" si="2"/>
        <v>(abra o arquivo 'Referência 12-2023.xlsm)</v>
      </c>
      <c r="F28" s="208" t="str">
        <f ca="1">IF(RegimeExecucao="Global","",ORÇAMENTO.Unidade)</f>
        <v>-</v>
      </c>
      <c r="G28" s="152">
        <f ca="1">IF(RegimeExecucao="Global","",ORÇAMENTO!T28)</f>
        <v>4733.87</v>
      </c>
      <c r="H28" s="152">
        <f ca="1">IF(RegimeExecucao="Global","",ORÇAMENTO!W28)</f>
        <v>0</v>
      </c>
      <c r="I28" s="155">
        <f ca="1">ORÇAMENTO!X28</f>
        <v>0</v>
      </c>
      <c r="J28" s="428">
        <f ca="1">IF($A28="S",IF(CAIXA.Modo,BM.AFAnterior,BM.MEDAnterior),IF(AND(RegimeExecucao="Global",$I28&gt;0,COUNTIF($AB$13:$AM$13,BM.medicao-1)&gt;0),M28/$I28*100,0))</f>
        <v>0</v>
      </c>
      <c r="K28" s="152">
        <f t="shared" ca="1" si="3"/>
        <v>0</v>
      </c>
      <c r="L28" s="429">
        <f ca="1">IF($A28="S",IF(CAIXA.Modo,BM.AFAcumulado,BM.MEDAcumulado),IF(AND(RegimeExecucao="Global",$I28&gt;0,COUNTIF($AB$13:$AM$13,BM.medicao)&gt;0),O28/$I28*100,0))</f>
        <v>0</v>
      </c>
      <c r="M28" s="430">
        <f ca="1">IF($A28="S",VTOTALBM,IF($A28=0,0,ROUND(SomaAgrupBM,15-13*ORÇAMENTO!$AF$11)))</f>
        <v>0</v>
      </c>
      <c r="N28" s="431">
        <f t="shared" ca="1" si="4"/>
        <v>0</v>
      </c>
      <c r="O28" s="155">
        <f ca="1">IF($A28="S",VTOTALBM,IF($A28=0,0,ROUND(SomaAgrupBM,15-13*ORÇAMENTO!$AF$11)))</f>
        <v>0</v>
      </c>
      <c r="Q28" s="432"/>
      <c r="R28" s="433"/>
      <c r="T28" s="147" t="str">
        <f t="shared" ca="1" si="5"/>
        <v/>
      </c>
      <c r="U28" s="207" t="str">
        <f t="shared" ca="1" si="6"/>
        <v/>
      </c>
      <c r="V28" s="208" t="str">
        <f ca="1">IF(AND($W28&gt;0,RegimeExecucao="Unitário"),$F28,"")</f>
        <v/>
      </c>
      <c r="W28" s="633">
        <f ca="1">IF($Y28&gt;0,CHOOSE(MATCH(RegimeExecucao,{"Unitário","Global"},0),IF($A28="S",$Y28/$X28,""),($Y28/$X28)*100),0)</f>
        <v>0</v>
      </c>
      <c r="X28" s="434" t="str">
        <f ca="1">IF($Y28&gt;0,CHOOSE(MATCH(RegimeExecucao,{"Unitário","Global"},0),IF($A28="S",ROUND($H28,ORÇAMENTO!$AF$10),""),ROUND($I28,ORÇAMENTO!$AF$11)),"")</f>
        <v/>
      </c>
      <c r="Y28" s="434">
        <f t="shared" ca="1" si="7"/>
        <v>0</v>
      </c>
      <c r="Z28" s="660"/>
      <c r="AB28" s="432"/>
      <c r="AC28" s="599"/>
      <c r="AD28" s="599"/>
      <c r="AE28" s="599"/>
      <c r="AF28" s="599"/>
      <c r="AG28" s="599"/>
      <c r="AH28" s="599"/>
      <c r="AI28" s="599"/>
      <c r="AJ28" s="599"/>
      <c r="AK28" s="599"/>
      <c r="AL28" s="599"/>
      <c r="AM28" s="433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 t="str">
        <f ca="1">ORÇAMENTO!C29</f>
        <v>S</v>
      </c>
      <c r="B29">
        <f ca="1">ORÇAMENTO!D29</f>
        <v>0</v>
      </c>
      <c r="C29" s="144" t="str">
        <f ca="1">IF(OR($I29&gt;0,$A29=1,$A29=2,$A29=3,$A29=4),"F","")</f>
        <v/>
      </c>
      <c r="D29" s="147" t="str">
        <f ca="1">ORÇAMENTO!O29</f>
        <v>-</v>
      </c>
      <c r="E29" s="207" t="str">
        <f>ORÇAMENTO.Descricao</f>
        <v>AQUISIÇÃO DE SOLO (AQUISIÇÃO DA PREFEITURA)</v>
      </c>
      <c r="F29" s="208" t="str">
        <f ca="1">IF(RegimeExecucao="Global","",ORÇAMENTO.Unidade)</f>
        <v>-</v>
      </c>
      <c r="G29" s="152">
        <f ca="1">IF(RegimeExecucao="Global","",ORÇAMENTO!T29)</f>
        <v>4733.87</v>
      </c>
      <c r="H29" s="152">
        <f ca="1">IF(RegimeExecucao="Global","",ORÇAMENTO!W29)</f>
        <v>0</v>
      </c>
      <c r="I29" s="155">
        <f ca="1">ORÇAMENTO!X29</f>
        <v>0</v>
      </c>
      <c r="J29" s="428">
        <f ca="1">IF($A29="S",IF(CAIXA.Modo,BM.AFAnterior,BM.MEDAnterior),IF(AND(RegimeExecucao="Global",$I29&gt;0,COUNTIF($AB$13:$AM$13,BM.medicao-1)&gt;0),M29/$I29*100,0))</f>
        <v>0</v>
      </c>
      <c r="K29" s="152">
        <f ca="1">L29-J29</f>
        <v>0</v>
      </c>
      <c r="L29" s="429">
        <f ca="1">IF($A29="S",IF(CAIXA.Modo,BM.AFAcumulado,BM.MEDAcumulado),IF(AND(RegimeExecucao="Global",$I29&gt;0,COUNTIF($AB$13:$AM$13,BM.medicao)&gt;0),O29/$I29*100,0))</f>
        <v>0</v>
      </c>
      <c r="M29" s="430">
        <f ca="1">IF($A29="S",VTOTALBM,IF($A29=0,0,ROUND(SomaAgrupBM,15-13*ORÇAMENTO!$AF$11)))</f>
        <v>0</v>
      </c>
      <c r="N29" s="431">
        <f ca="1">O29-M29</f>
        <v>0</v>
      </c>
      <c r="O29" s="155">
        <f ca="1">IF($A29="S",VTOTALBM,IF($A29=0,0,ROUND(SomaAgrupBM,15-13*ORÇAMENTO!$AF$11)))</f>
        <v>0</v>
      </c>
      <c r="Q29" s="432"/>
      <c r="R29" s="433"/>
      <c r="T29" s="147" t="str">
        <f ca="1">IF($W29&gt;0,$D29,"")</f>
        <v/>
      </c>
      <c r="U29" s="207" t="str">
        <f ca="1">IF($W29&gt;0,$E29,"")</f>
        <v/>
      </c>
      <c r="V29" s="208" t="str">
        <f ca="1">IF(AND($W29&gt;0,RegimeExecucao="Unitário"),$F29,"")</f>
        <v/>
      </c>
      <c r="W29" s="633">
        <f ca="1">IF($Y29&gt;0,CHOOSE(MATCH(RegimeExecucao,{"Unitário","Global"},0),IF($A29="S",$Y29/$X29,""),($Y29/$X29)*100),0)</f>
        <v>0</v>
      </c>
      <c r="X29" s="434" t="str">
        <f ca="1">IF($Y29&gt;0,CHOOSE(MATCH(RegimeExecucao,{"Unitário","Global"},0),IF($A29="S",ROUND($H29,ORÇAMENTO!$AF$10),""),ROUND($I29,ORÇAMENTO!$AF$11)),"")</f>
        <v/>
      </c>
      <c r="Y29" s="434">
        <f ca="1">AO29-O29</f>
        <v>0</v>
      </c>
      <c r="Z29" s="660"/>
      <c r="AB29" s="432"/>
      <c r="AC29" s="599"/>
      <c r="AD29" s="599"/>
      <c r="AE29" s="599"/>
      <c r="AF29" s="599"/>
      <c r="AG29" s="599"/>
      <c r="AH29" s="599"/>
      <c r="AI29" s="599"/>
      <c r="AJ29" s="599"/>
      <c r="AK29" s="599"/>
      <c r="AL29" s="599"/>
      <c r="AM29" s="433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x14ac:dyDescent="0.2">
      <c r="A30">
        <f ca="1">ORÇAMENTO!C30</f>
        <v>2</v>
      </c>
      <c r="B30">
        <f ca="1">ORÇAMENTO!D30</f>
        <v>3</v>
      </c>
      <c r="C30" s="144" t="str">
        <f t="shared" ca="1" si="1"/>
        <v>F</v>
      </c>
      <c r="D30" s="147" t="str">
        <f ca="1">ORÇAMENTO!O30</f>
        <v>1.3.</v>
      </c>
      <c r="E30" s="207" t="str">
        <f t="shared" si="2"/>
        <v>IMPRIMAÇÃO</v>
      </c>
      <c r="F30" s="208" t="str">
        <f ca="1">IF(RegimeExecucao="Global","",ORÇAMENTO.Unidade)</f>
        <v>-</v>
      </c>
      <c r="G30" s="152">
        <f ca="1">IF(RegimeExecucao="Global","",ORÇAMENTO!T30)</f>
        <v>0</v>
      </c>
      <c r="H30" s="152">
        <f ca="1">IF(RegimeExecucao="Global","",ORÇAMENTO!W30)</f>
        <v>0</v>
      </c>
      <c r="I30" s="155">
        <f ca="1">ORÇAMENTO!X30</f>
        <v>0</v>
      </c>
      <c r="J30" s="428">
        <f ca="1">IF($A30="S",IF(CAIXA.Modo,BM.AFAnterior,BM.MEDAnterior),IF(AND(RegimeExecucao="Global",$I30&gt;0,COUNTIF($AB$13:$AM$13,BM.medicao-1)&gt;0),M30/$I30*100,0))</f>
        <v>0</v>
      </c>
      <c r="K30" s="152">
        <f t="shared" ca="1" si="3"/>
        <v>0</v>
      </c>
      <c r="L30" s="429">
        <f ca="1">IF($A30="S",IF(CAIXA.Modo,BM.AFAcumulado,BM.MEDAcumulado),IF(AND(RegimeExecucao="Global",$I30&gt;0,COUNTIF($AB$13:$AM$13,BM.medicao)&gt;0),O30/$I30*100,0))</f>
        <v>0</v>
      </c>
      <c r="M30" s="430">
        <f ca="1">IF($A30="S",VTOTALBM,IF($A30=0,0,ROUND(SomaAgrupBM,15-13*ORÇAMENTO!$AF$11)))</f>
        <v>0</v>
      </c>
      <c r="N30" s="431">
        <f t="shared" ca="1" si="4"/>
        <v>0</v>
      </c>
      <c r="O30" s="155">
        <f ca="1">IF($A30="S",VTOTALBM,IF($A30=0,0,ROUND(SomaAgrupBM,15-13*ORÇAMENTO!$AF$11)))</f>
        <v>0</v>
      </c>
      <c r="Q30" s="432"/>
      <c r="R30" s="433"/>
      <c r="T30" s="147" t="str">
        <f t="shared" ca="1" si="5"/>
        <v/>
      </c>
      <c r="U30" s="207" t="str">
        <f t="shared" ca="1" si="6"/>
        <v/>
      </c>
      <c r="V30" s="208" t="str">
        <f ca="1">IF(AND($W30&gt;0,RegimeExecucao="Unitário"),$F30,"")</f>
        <v/>
      </c>
      <c r="W30" s="633">
        <f ca="1">IF($Y30&gt;0,CHOOSE(MATCH(RegimeExecucao,{"Unitário","Global"},0),IF($A30="S",$Y30/$X30,""),($Y30/$X30)*100),0)</f>
        <v>0</v>
      </c>
      <c r="X30" s="434" t="str">
        <f ca="1">IF($Y30&gt;0,CHOOSE(MATCH(RegimeExecucao,{"Unitário","Global"},0),IF($A30="S",ROUND($H30,ORÇAMENTO!$AF$10),""),ROUND($I30,ORÇAMENTO!$AF$11)),"")</f>
        <v/>
      </c>
      <c r="Y30" s="434">
        <f t="shared" ca="1" si="7"/>
        <v>0</v>
      </c>
      <c r="Z30" s="660"/>
      <c r="AB30" s="432"/>
      <c r="AC30" s="599"/>
      <c r="AD30" s="599"/>
      <c r="AE30" s="599"/>
      <c r="AF30" s="599"/>
      <c r="AG30" s="599"/>
      <c r="AH30" s="599"/>
      <c r="AI30" s="599"/>
      <c r="AJ30" s="599"/>
      <c r="AK30" s="599"/>
      <c r="AL30" s="599"/>
      <c r="AM30" s="433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x14ac:dyDescent="0.2">
      <c r="A31" t="str">
        <f ca="1">ORÇAMENTO!C31</f>
        <v>S</v>
      </c>
      <c r="B31">
        <f ca="1">ORÇAMENTO!D31</f>
        <v>0</v>
      </c>
      <c r="C31" s="144" t="str">
        <f t="shared" ca="1" si="1"/>
        <v/>
      </c>
      <c r="D31" s="147" t="str">
        <f ca="1">ORÇAMENTO!O31</f>
        <v>-</v>
      </c>
      <c r="E31" s="207" t="str">
        <f t="shared" ca="1" si="2"/>
        <v>(abra o arquivo 'Referência 12-2023.xlsm)</v>
      </c>
      <c r="F31" s="208" t="str">
        <f ca="1">IF(RegimeExecucao="Global","",ORÇAMENTO.Unidade)</f>
        <v>-</v>
      </c>
      <c r="G31" s="152">
        <f ca="1">IF(RegimeExecucao="Global","",ORÇAMENTO!T31)</f>
        <v>27566.989999999994</v>
      </c>
      <c r="H31" s="152">
        <f ca="1">IF(RegimeExecucao="Global","",ORÇAMENTO!W31)</f>
        <v>0</v>
      </c>
      <c r="I31" s="155">
        <f ca="1">ORÇAMENTO!X31</f>
        <v>0</v>
      </c>
      <c r="J31" s="428">
        <f ca="1">IF($A31="S",IF(CAIXA.Modo,BM.AFAnterior,BM.MEDAnterior),IF(AND(RegimeExecucao="Global",$I31&gt;0,COUNTIF($AB$13:$AM$13,BM.medicao-1)&gt;0),M31/$I31*100,0))</f>
        <v>0</v>
      </c>
      <c r="K31" s="152">
        <f t="shared" ca="1" si="3"/>
        <v>0</v>
      </c>
      <c r="L31" s="429">
        <f ca="1">IF($A31="S",IF(CAIXA.Modo,BM.AFAcumulado,BM.MEDAcumulado),IF(AND(RegimeExecucao="Global",$I31&gt;0,COUNTIF($AB$13:$AM$13,BM.medicao)&gt;0),O31/$I31*100,0))</f>
        <v>0</v>
      </c>
      <c r="M31" s="430">
        <f ca="1">IF($A31="S",VTOTALBM,IF($A31=0,0,ROUND(SomaAgrupBM,15-13*ORÇAMENTO!$AF$11)))</f>
        <v>0</v>
      </c>
      <c r="N31" s="431">
        <f t="shared" ca="1" si="4"/>
        <v>0</v>
      </c>
      <c r="O31" s="155">
        <f ca="1">IF($A31="S",VTOTALBM,IF($A31=0,0,ROUND(SomaAgrupBM,15-13*ORÇAMENTO!$AF$11)))</f>
        <v>0</v>
      </c>
      <c r="Q31" s="432"/>
      <c r="R31" s="433"/>
      <c r="T31" s="147" t="str">
        <f t="shared" ca="1" si="5"/>
        <v/>
      </c>
      <c r="U31" s="207" t="str">
        <f t="shared" ca="1" si="6"/>
        <v/>
      </c>
      <c r="V31" s="208" t="str">
        <f ca="1">IF(AND($W31&gt;0,RegimeExecucao="Unitário"),$F31,"")</f>
        <v/>
      </c>
      <c r="W31" s="633">
        <f ca="1">IF($Y31&gt;0,CHOOSE(MATCH(RegimeExecucao,{"Unitário","Global"},0),IF($A31="S",$Y31/$X31,""),($Y31/$X31)*100),0)</f>
        <v>0</v>
      </c>
      <c r="X31" s="434" t="str">
        <f ca="1">IF($Y31&gt;0,CHOOSE(MATCH(RegimeExecucao,{"Unitário","Global"},0),IF($A31="S",ROUND($H31,ORÇAMENTO!$AF$10),""),ROUND($I31,ORÇAMENTO!$AF$11)),"")</f>
        <v/>
      </c>
      <c r="Y31" s="434">
        <f t="shared" ca="1" si="7"/>
        <v>0</v>
      </c>
      <c r="Z31" s="660"/>
      <c r="AB31" s="432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433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x14ac:dyDescent="0.2">
      <c r="A32" t="str">
        <f ca="1">ORÇAMENTO!C32</f>
        <v>S</v>
      </c>
      <c r="B32">
        <f ca="1">ORÇAMENTO!D32</f>
        <v>0</v>
      </c>
      <c r="C32" s="144" t="str">
        <f t="shared" ca="1" si="1"/>
        <v/>
      </c>
      <c r="D32" s="147" t="str">
        <f ca="1">ORÇAMENTO!O32</f>
        <v>-</v>
      </c>
      <c r="E32" s="207" t="str">
        <f t="shared" ca="1" si="2"/>
        <v>(abra o arquivo 'Referência 12-2023.xlsm)</v>
      </c>
      <c r="F32" s="208" t="str">
        <f ca="1">IF(RegimeExecucao="Global","",ORÇAMENTO.Unidade)</f>
        <v>-</v>
      </c>
      <c r="G32" s="152">
        <f ca="1">IF(RegimeExecucao="Global","",ORÇAMENTO!T32)</f>
        <v>18955.05</v>
      </c>
      <c r="H32" s="152">
        <f ca="1">IF(RegimeExecucao="Global","",ORÇAMENTO!W32)</f>
        <v>0</v>
      </c>
      <c r="I32" s="155">
        <f ca="1">ORÇAMENTO!X32</f>
        <v>0</v>
      </c>
      <c r="J32" s="428">
        <f ca="1">IF($A32="S",IF(CAIXA.Modo,BM.AFAnterior,BM.MEDAnterior),IF(AND(RegimeExecucao="Global",$I32&gt;0,COUNTIF($AB$13:$AM$13,BM.medicao-1)&gt;0),M32/$I32*100,0))</f>
        <v>0</v>
      </c>
      <c r="K32" s="152">
        <f t="shared" ca="1" si="3"/>
        <v>0</v>
      </c>
      <c r="L32" s="429">
        <f ca="1">IF($A32="S",IF(CAIXA.Modo,BM.AFAcumulado,BM.MEDAcumulado),IF(AND(RegimeExecucao="Global",$I32&gt;0,COUNTIF($AB$13:$AM$13,BM.medicao)&gt;0),O32/$I32*100,0))</f>
        <v>0</v>
      </c>
      <c r="M32" s="430">
        <f ca="1">IF($A32="S",VTOTALBM,IF($A32=0,0,ROUND(SomaAgrupBM,15-13*ORÇAMENTO!$AF$11)))</f>
        <v>0</v>
      </c>
      <c r="N32" s="431">
        <f t="shared" ca="1" si="4"/>
        <v>0</v>
      </c>
      <c r="O32" s="155">
        <f ca="1">IF($A32="S",VTOTALBM,IF($A32=0,0,ROUND(SomaAgrupBM,15-13*ORÇAMENTO!$AF$11)))</f>
        <v>0</v>
      </c>
      <c r="Q32" s="432"/>
      <c r="R32" s="433"/>
      <c r="T32" s="147" t="str">
        <f t="shared" ca="1" si="5"/>
        <v/>
      </c>
      <c r="U32" s="207" t="str">
        <f t="shared" ca="1" si="6"/>
        <v/>
      </c>
      <c r="V32" s="208" t="str">
        <f ca="1">IF(AND($W32&gt;0,RegimeExecucao="Unitário"),$F32,"")</f>
        <v/>
      </c>
      <c r="W32" s="633">
        <f ca="1">IF($Y32&gt;0,CHOOSE(MATCH(RegimeExecucao,{"Unitário","Global"},0),IF($A32="S",$Y32/$X32,""),($Y32/$X32)*100),0)</f>
        <v>0</v>
      </c>
      <c r="X32" s="434" t="str">
        <f ca="1">IF($Y32&gt;0,CHOOSE(MATCH(RegimeExecucao,{"Unitário","Global"},0),IF($A32="S",ROUND($H32,ORÇAMENTO!$AF$10),""),ROUND($I32,ORÇAMENTO!$AF$11)),"")</f>
        <v/>
      </c>
      <c r="Y32" s="434">
        <f t="shared" ca="1" si="7"/>
        <v>0</v>
      </c>
      <c r="Z32" s="660"/>
      <c r="AB32" s="432"/>
      <c r="AC32" s="599"/>
      <c r="AD32" s="599"/>
      <c r="AE32" s="599"/>
      <c r="AF32" s="599"/>
      <c r="AG32" s="599"/>
      <c r="AH32" s="599"/>
      <c r="AI32" s="599"/>
      <c r="AJ32" s="599"/>
      <c r="AK32" s="599"/>
      <c r="AL32" s="599"/>
      <c r="AM32" s="433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x14ac:dyDescent="0.2">
      <c r="A33">
        <f ca="1">ORÇAMENTO!C33</f>
        <v>2</v>
      </c>
      <c r="B33">
        <f ca="1">ORÇAMENTO!D33</f>
        <v>3</v>
      </c>
      <c r="C33" s="144" t="str">
        <f t="shared" ca="1" si="1"/>
        <v>F</v>
      </c>
      <c r="D33" s="147" t="str">
        <f ca="1">ORÇAMENTO!O33</f>
        <v>1.4.</v>
      </c>
      <c r="E33" s="207" t="str">
        <f t="shared" si="2"/>
        <v>PINTURA DE LIGAÇÃO</v>
      </c>
      <c r="F33" s="208" t="str">
        <f ca="1">IF(RegimeExecucao="Global","",ORÇAMENTO.Unidade)</f>
        <v>-</v>
      </c>
      <c r="G33" s="152">
        <f ca="1">IF(RegimeExecucao="Global","",ORÇAMENTO!T33)</f>
        <v>0</v>
      </c>
      <c r="H33" s="152">
        <f ca="1">IF(RegimeExecucao="Global","",ORÇAMENTO!W33)</f>
        <v>0</v>
      </c>
      <c r="I33" s="155">
        <f ca="1">ORÇAMENTO!X33</f>
        <v>0</v>
      </c>
      <c r="J33" s="428">
        <f ca="1">IF($A33="S",IF(CAIXA.Modo,BM.AFAnterior,BM.MEDAnterior),IF(AND(RegimeExecucao="Global",$I33&gt;0,COUNTIF($AB$13:$AM$13,BM.medicao-1)&gt;0),M33/$I33*100,0))</f>
        <v>0</v>
      </c>
      <c r="K33" s="152">
        <f t="shared" ca="1" si="3"/>
        <v>0</v>
      </c>
      <c r="L33" s="429">
        <f ca="1">IF($A33="S",IF(CAIXA.Modo,BM.AFAcumulado,BM.MEDAcumulado),IF(AND(RegimeExecucao="Global",$I33&gt;0,COUNTIF($AB$13:$AM$13,BM.medicao)&gt;0),O33/$I33*100,0))</f>
        <v>0</v>
      </c>
      <c r="M33" s="430">
        <f ca="1">IF($A33="S",VTOTALBM,IF($A33=0,0,ROUND(SomaAgrupBM,15-13*ORÇAMENTO!$AF$11)))</f>
        <v>0</v>
      </c>
      <c r="N33" s="431">
        <f t="shared" ca="1" si="4"/>
        <v>0</v>
      </c>
      <c r="O33" s="155">
        <f ca="1">IF($A33="S",VTOTALBM,IF($A33=0,0,ROUND(SomaAgrupBM,15-13*ORÇAMENTO!$AF$11)))</f>
        <v>0</v>
      </c>
      <c r="Q33" s="432"/>
      <c r="R33" s="433"/>
      <c r="T33" s="147" t="str">
        <f t="shared" ca="1" si="5"/>
        <v/>
      </c>
      <c r="U33" s="207" t="str">
        <f t="shared" ca="1" si="6"/>
        <v/>
      </c>
      <c r="V33" s="208" t="str">
        <f ca="1">IF(AND($W33&gt;0,RegimeExecucao="Unitário"),$F33,"")</f>
        <v/>
      </c>
      <c r="W33" s="633">
        <f ca="1">IF($Y33&gt;0,CHOOSE(MATCH(RegimeExecucao,{"Unitário","Global"},0),IF($A33="S",$Y33/$X33,""),($Y33/$X33)*100),0)</f>
        <v>0</v>
      </c>
      <c r="X33" s="434" t="str">
        <f ca="1">IF($Y33&gt;0,CHOOSE(MATCH(RegimeExecucao,{"Unitário","Global"},0),IF($A33="S",ROUND($H33,ORÇAMENTO!$AF$10),""),ROUND($I33,ORÇAMENTO!$AF$11)),"")</f>
        <v/>
      </c>
      <c r="Y33" s="434">
        <f t="shared" ca="1" si="7"/>
        <v>0</v>
      </c>
      <c r="Z33" s="660"/>
      <c r="AB33" s="432"/>
      <c r="AC33" s="599"/>
      <c r="AD33" s="599"/>
      <c r="AE33" s="599"/>
      <c r="AF33" s="599"/>
      <c r="AG33" s="599"/>
      <c r="AH33" s="599"/>
      <c r="AI33" s="599"/>
      <c r="AJ33" s="599"/>
      <c r="AK33" s="599"/>
      <c r="AL33" s="599"/>
      <c r="AM33" s="433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x14ac:dyDescent="0.2">
      <c r="A34" t="str">
        <f ca="1">ORÇAMENTO!C34</f>
        <v>S</v>
      </c>
      <c r="B34">
        <f ca="1">ORÇAMENTO!D34</f>
        <v>0</v>
      </c>
      <c r="C34" s="144" t="str">
        <f t="shared" ca="1" si="1"/>
        <v/>
      </c>
      <c r="D34" s="147" t="str">
        <f ca="1">ORÇAMENTO!O34</f>
        <v>-</v>
      </c>
      <c r="E34" s="207" t="str">
        <f t="shared" ca="1" si="2"/>
        <v>(abra o arquivo 'Referência 12-2023.xlsm)</v>
      </c>
      <c r="F34" s="208" t="str">
        <f ca="1">IF(RegimeExecucao="Global","",ORÇAMENTO.Unidade)</f>
        <v>-</v>
      </c>
      <c r="G34" s="152">
        <f ca="1">IF(RegimeExecucao="Global","",ORÇAMENTO!T34)</f>
        <v>27566.989999999994</v>
      </c>
      <c r="H34" s="152">
        <f ca="1">IF(RegimeExecucao="Global","",ORÇAMENTO!W34)</f>
        <v>0</v>
      </c>
      <c r="I34" s="155">
        <f ca="1">ORÇAMENTO!X34</f>
        <v>0</v>
      </c>
      <c r="J34" s="428">
        <f ca="1">IF($A34="S",IF(CAIXA.Modo,BM.AFAnterior,BM.MEDAnterior),IF(AND(RegimeExecucao="Global",$I34&gt;0,COUNTIF($AB$13:$AM$13,BM.medicao-1)&gt;0),M34/$I34*100,0))</f>
        <v>0</v>
      </c>
      <c r="K34" s="152">
        <f t="shared" ca="1" si="3"/>
        <v>0</v>
      </c>
      <c r="L34" s="429">
        <f ca="1">IF($A34="S",IF(CAIXA.Modo,BM.AFAcumulado,BM.MEDAcumulado),IF(AND(RegimeExecucao="Global",$I34&gt;0,COUNTIF($AB$13:$AM$13,BM.medicao)&gt;0),O34/$I34*100,0))</f>
        <v>0</v>
      </c>
      <c r="M34" s="430">
        <f ca="1">IF($A34="S",VTOTALBM,IF($A34=0,0,ROUND(SomaAgrupBM,15-13*ORÇAMENTO!$AF$11)))</f>
        <v>0</v>
      </c>
      <c r="N34" s="431">
        <f t="shared" ca="1" si="4"/>
        <v>0</v>
      </c>
      <c r="O34" s="155">
        <f ca="1">IF($A34="S",VTOTALBM,IF($A34=0,0,ROUND(SomaAgrupBM,15-13*ORÇAMENTO!$AF$11)))</f>
        <v>0</v>
      </c>
      <c r="Q34" s="432"/>
      <c r="R34" s="433"/>
      <c r="T34" s="147" t="str">
        <f t="shared" ca="1" si="5"/>
        <v/>
      </c>
      <c r="U34" s="207" t="str">
        <f t="shared" ca="1" si="6"/>
        <v/>
      </c>
      <c r="V34" s="208" t="str">
        <f ca="1">IF(AND($W34&gt;0,RegimeExecucao="Unitário"),$F34,"")</f>
        <v/>
      </c>
      <c r="W34" s="633">
        <f ca="1">IF($Y34&gt;0,CHOOSE(MATCH(RegimeExecucao,{"Unitário","Global"},0),IF($A34="S",$Y34/$X34,""),($Y34/$X34)*100),0)</f>
        <v>0</v>
      </c>
      <c r="X34" s="434" t="str">
        <f ca="1">IF($Y34&gt;0,CHOOSE(MATCH(RegimeExecucao,{"Unitário","Global"},0),IF($A34="S",ROUND($H34,ORÇAMENTO!$AF$10),""),ROUND($I34,ORÇAMENTO!$AF$11)),"")</f>
        <v/>
      </c>
      <c r="Y34" s="434">
        <f t="shared" ca="1" si="7"/>
        <v>0</v>
      </c>
      <c r="Z34" s="660"/>
      <c r="AB34" s="432"/>
      <c r="AC34" s="599"/>
      <c r="AD34" s="599"/>
      <c r="AE34" s="599"/>
      <c r="AF34" s="599"/>
      <c r="AG34" s="599"/>
      <c r="AH34" s="599"/>
      <c r="AI34" s="599"/>
      <c r="AJ34" s="599"/>
      <c r="AK34" s="599"/>
      <c r="AL34" s="599"/>
      <c r="AM34" s="433"/>
      <c r="AO3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x14ac:dyDescent="0.2">
      <c r="A35" t="str">
        <f ca="1">ORÇAMENTO!C35</f>
        <v>S</v>
      </c>
      <c r="B35">
        <f ca="1">ORÇAMENTO!D35</f>
        <v>0</v>
      </c>
      <c r="C35" s="144" t="str">
        <f t="shared" ca="1" si="1"/>
        <v/>
      </c>
      <c r="D35" s="147" t="str">
        <f ca="1">ORÇAMENTO!O35</f>
        <v>-</v>
      </c>
      <c r="E35" s="207" t="str">
        <f t="shared" ca="1" si="2"/>
        <v>(abra o arquivo 'Referência 12-2023.xlsm)</v>
      </c>
      <c r="F35" s="208" t="str">
        <f ca="1">IF(RegimeExecucao="Global","",ORÇAMENTO.Unidade)</f>
        <v>-</v>
      </c>
      <c r="G35" s="152">
        <f ca="1">IF(RegimeExecucao="Global","",ORÇAMENTO!T35)</f>
        <v>7897.9500000000007</v>
      </c>
      <c r="H35" s="152">
        <f ca="1">IF(RegimeExecucao="Global","",ORÇAMENTO!W35)</f>
        <v>0</v>
      </c>
      <c r="I35" s="155">
        <f ca="1">ORÇAMENTO!X35</f>
        <v>0</v>
      </c>
      <c r="J35" s="428">
        <f ca="1">IF($A35="S",IF(CAIXA.Modo,BM.AFAnterior,BM.MEDAnterior),IF(AND(RegimeExecucao="Global",$I35&gt;0,COUNTIF($AB$13:$AM$13,BM.medicao-1)&gt;0),M35/$I35*100,0))</f>
        <v>0</v>
      </c>
      <c r="K35" s="152">
        <f t="shared" ca="1" si="3"/>
        <v>0</v>
      </c>
      <c r="L35" s="429">
        <f ca="1">IF($A35="S",IF(CAIXA.Modo,BM.AFAcumulado,BM.MEDAcumulado),IF(AND(RegimeExecucao="Global",$I35&gt;0,COUNTIF($AB$13:$AM$13,BM.medicao)&gt;0),O35/$I35*100,0))</f>
        <v>0</v>
      </c>
      <c r="M35" s="430">
        <f ca="1">IF($A35="S",VTOTALBM,IF($A35=0,0,ROUND(SomaAgrupBM,15-13*ORÇAMENTO!$AF$11)))</f>
        <v>0</v>
      </c>
      <c r="N35" s="431">
        <f t="shared" ca="1" si="4"/>
        <v>0</v>
      </c>
      <c r="O35" s="155">
        <f ca="1">IF($A35="S",VTOTALBM,IF($A35=0,0,ROUND(SomaAgrupBM,15-13*ORÇAMENTO!$AF$11)))</f>
        <v>0</v>
      </c>
      <c r="Q35" s="432"/>
      <c r="R35" s="433"/>
      <c r="T35" s="147" t="str">
        <f t="shared" ca="1" si="5"/>
        <v/>
      </c>
      <c r="U35" s="207" t="str">
        <f t="shared" ca="1" si="6"/>
        <v/>
      </c>
      <c r="V35" s="208" t="str">
        <f ca="1">IF(AND($W35&gt;0,RegimeExecucao="Unitário"),$F35,"")</f>
        <v/>
      </c>
      <c r="W35" s="633">
        <f ca="1">IF($Y35&gt;0,CHOOSE(MATCH(RegimeExecucao,{"Unitário","Global"},0),IF($A35="S",$Y35/$X35,""),($Y35/$X35)*100),0)</f>
        <v>0</v>
      </c>
      <c r="X35" s="434" t="str">
        <f ca="1">IF($Y35&gt;0,CHOOSE(MATCH(RegimeExecucao,{"Unitário","Global"},0),IF($A35="S",ROUND($H35,ORÇAMENTO!$AF$10),""),ROUND($I35,ORÇAMENTO!$AF$11)),"")</f>
        <v/>
      </c>
      <c r="Y35" s="434">
        <f t="shared" ca="1" si="7"/>
        <v>0</v>
      </c>
      <c r="Z35" s="660"/>
      <c r="AB35" s="432"/>
      <c r="AC35" s="599"/>
      <c r="AD35" s="599"/>
      <c r="AE35" s="599"/>
      <c r="AF35" s="599"/>
      <c r="AG35" s="599"/>
      <c r="AH35" s="599"/>
      <c r="AI35" s="599"/>
      <c r="AJ35" s="599"/>
      <c r="AK35" s="599"/>
      <c r="AL35" s="599"/>
      <c r="AM35" s="433"/>
      <c r="AO35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x14ac:dyDescent="0.2">
      <c r="A36">
        <f ca="1">ORÇAMENTO!C36</f>
        <v>2</v>
      </c>
      <c r="B36">
        <f ca="1">ORÇAMENTO!D36</f>
        <v>3</v>
      </c>
      <c r="C36" s="144" t="str">
        <f t="shared" ca="1" si="1"/>
        <v>F</v>
      </c>
      <c r="D36" s="147" t="str">
        <f ca="1">ORÇAMENTO!O36</f>
        <v>1.5.</v>
      </c>
      <c r="E36" s="207" t="str">
        <f t="shared" si="2"/>
        <v xml:space="preserve">PAVIMENTAÇÃO </v>
      </c>
      <c r="F36" s="208" t="str">
        <f ca="1">IF(RegimeExecucao="Global","",ORÇAMENTO.Unidade)</f>
        <v>-</v>
      </c>
      <c r="G36" s="152">
        <f ca="1">IF(RegimeExecucao="Global","",ORÇAMENTO!T36)</f>
        <v>0</v>
      </c>
      <c r="H36" s="152">
        <f ca="1">IF(RegimeExecucao="Global","",ORÇAMENTO!W36)</f>
        <v>0</v>
      </c>
      <c r="I36" s="155">
        <f ca="1">ORÇAMENTO!X36</f>
        <v>0</v>
      </c>
      <c r="J36" s="428">
        <f ca="1">IF($A36="S",IF(CAIXA.Modo,BM.AFAnterior,BM.MEDAnterior),IF(AND(RegimeExecucao="Global",$I36&gt;0,COUNTIF($AB$13:$AM$13,BM.medicao-1)&gt;0),M36/$I36*100,0))</f>
        <v>0</v>
      </c>
      <c r="K36" s="152">
        <f t="shared" ca="1" si="3"/>
        <v>0</v>
      </c>
      <c r="L36" s="429">
        <f ca="1">IF($A36="S",IF(CAIXA.Modo,BM.AFAcumulado,BM.MEDAcumulado),IF(AND(RegimeExecucao="Global",$I36&gt;0,COUNTIF($AB$13:$AM$13,BM.medicao)&gt;0),O36/$I36*100,0))</f>
        <v>0</v>
      </c>
      <c r="M36" s="430">
        <f ca="1">IF($A36="S",VTOTALBM,IF($A36=0,0,ROUND(SomaAgrupBM,15-13*ORÇAMENTO!$AF$11)))</f>
        <v>0</v>
      </c>
      <c r="N36" s="431">
        <f t="shared" ca="1" si="4"/>
        <v>0</v>
      </c>
      <c r="O36" s="155">
        <f ca="1">IF($A36="S",VTOTALBM,IF($A36=0,0,ROUND(SomaAgrupBM,15-13*ORÇAMENTO!$AF$11)))</f>
        <v>0</v>
      </c>
      <c r="Q36" s="432"/>
      <c r="R36" s="433"/>
      <c r="T36" s="147" t="str">
        <f t="shared" ca="1" si="5"/>
        <v/>
      </c>
      <c r="U36" s="207" t="str">
        <f t="shared" ca="1" si="6"/>
        <v/>
      </c>
      <c r="V36" s="208" t="str">
        <f ca="1">IF(AND($W36&gt;0,RegimeExecucao="Unitário"),$F36,"")</f>
        <v/>
      </c>
      <c r="W36" s="633">
        <f ca="1">IF($Y36&gt;0,CHOOSE(MATCH(RegimeExecucao,{"Unitário","Global"},0),IF($A36="S",$Y36/$X36,""),($Y36/$X36)*100),0)</f>
        <v>0</v>
      </c>
      <c r="X36" s="434" t="str">
        <f ca="1">IF($Y36&gt;0,CHOOSE(MATCH(RegimeExecucao,{"Unitário","Global"},0),IF($A36="S",ROUND($H36,ORÇAMENTO!$AF$10),""),ROUND($I36,ORÇAMENTO!$AF$11)),"")</f>
        <v/>
      </c>
      <c r="Y36" s="434">
        <f t="shared" ca="1" si="7"/>
        <v>0</v>
      </c>
      <c r="Z36" s="660"/>
      <c r="AB36" s="432"/>
      <c r="AC36" s="599"/>
      <c r="AD36" s="599"/>
      <c r="AE36" s="599"/>
      <c r="AF36" s="599"/>
      <c r="AG36" s="599"/>
      <c r="AH36" s="599"/>
      <c r="AI36" s="599"/>
      <c r="AJ36" s="599"/>
      <c r="AK36" s="599"/>
      <c r="AL36" s="599"/>
      <c r="AM36" s="433"/>
      <c r="AO36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x14ac:dyDescent="0.2">
      <c r="A37" t="str">
        <f ca="1">ORÇAMENTO!C37</f>
        <v>S</v>
      </c>
      <c r="B37">
        <f ca="1">ORÇAMENTO!D37</f>
        <v>0</v>
      </c>
      <c r="C37" s="144" t="str">
        <f t="shared" ca="1" si="1"/>
        <v/>
      </c>
      <c r="D37" s="147" t="str">
        <f ca="1">ORÇAMENTO!O37</f>
        <v>-</v>
      </c>
      <c r="E37" s="207" t="str">
        <f t="shared" ca="1" si="2"/>
        <v>(abra o arquivo 'Referência 12-2023.xlsm)</v>
      </c>
      <c r="F37" s="208" t="str">
        <f ca="1">IF(RegimeExecucao="Global","",ORÇAMENTO.Unidade)</f>
        <v>-</v>
      </c>
      <c r="G37" s="152">
        <f ca="1">IF(RegimeExecucao="Global","",ORÇAMENTO!T37)</f>
        <v>827</v>
      </c>
      <c r="H37" s="152">
        <f ca="1">IF(RegimeExecucao="Global","",ORÇAMENTO!W37)</f>
        <v>0</v>
      </c>
      <c r="I37" s="155">
        <f ca="1">ORÇAMENTO!X37</f>
        <v>0</v>
      </c>
      <c r="J37" s="428">
        <f ca="1">IF($A37="S",IF(CAIXA.Modo,BM.AFAnterior,BM.MEDAnterior),IF(AND(RegimeExecucao="Global",$I37&gt;0,COUNTIF($AB$13:$AM$13,BM.medicao-1)&gt;0),M37/$I37*100,0))</f>
        <v>0</v>
      </c>
      <c r="K37" s="152">
        <f t="shared" ca="1" si="3"/>
        <v>0</v>
      </c>
      <c r="L37" s="429">
        <f ca="1">IF($A37="S",IF(CAIXA.Modo,BM.AFAcumulado,BM.MEDAcumulado),IF(AND(RegimeExecucao="Global",$I37&gt;0,COUNTIF($AB$13:$AM$13,BM.medicao)&gt;0),O37/$I37*100,0))</f>
        <v>0</v>
      </c>
      <c r="M37" s="430">
        <f ca="1">IF($A37="S",VTOTALBM,IF($A37=0,0,ROUND(SomaAgrupBM,15-13*ORÇAMENTO!$AF$11)))</f>
        <v>0</v>
      </c>
      <c r="N37" s="431">
        <f t="shared" ca="1" si="4"/>
        <v>0</v>
      </c>
      <c r="O37" s="155">
        <f ca="1">IF($A37="S",VTOTALBM,IF($A37=0,0,ROUND(SomaAgrupBM,15-13*ORÇAMENTO!$AF$11)))</f>
        <v>0</v>
      </c>
      <c r="Q37" s="432"/>
      <c r="R37" s="433"/>
      <c r="T37" s="147" t="str">
        <f t="shared" ca="1" si="5"/>
        <v/>
      </c>
      <c r="U37" s="207" t="str">
        <f t="shared" ca="1" si="6"/>
        <v/>
      </c>
      <c r="V37" s="208" t="str">
        <f ca="1">IF(AND($W37&gt;0,RegimeExecucao="Unitário"),$F37,"")</f>
        <v/>
      </c>
      <c r="W37" s="633">
        <f ca="1">IF($Y37&gt;0,CHOOSE(MATCH(RegimeExecucao,{"Unitário","Global"},0),IF($A37="S",$Y37/$X37,""),($Y37/$X37)*100),0)</f>
        <v>0</v>
      </c>
      <c r="X37" s="434" t="str">
        <f ca="1">IF($Y37&gt;0,CHOOSE(MATCH(RegimeExecucao,{"Unitário","Global"},0),IF($A37="S",ROUND($H37,ORÇAMENTO!$AF$10),""),ROUND($I37,ORÇAMENTO!$AF$11)),"")</f>
        <v/>
      </c>
      <c r="Y37" s="434">
        <f t="shared" ca="1" si="7"/>
        <v>0</v>
      </c>
      <c r="Z37" s="660"/>
      <c r="AB37" s="432"/>
      <c r="AC37" s="599"/>
      <c r="AD37" s="599"/>
      <c r="AE37" s="599"/>
      <c r="AF37" s="599"/>
      <c r="AG37" s="599"/>
      <c r="AH37" s="599"/>
      <c r="AI37" s="599"/>
      <c r="AJ37" s="599"/>
      <c r="AK37" s="599"/>
      <c r="AL37" s="599"/>
      <c r="AM37" s="433"/>
      <c r="AO37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x14ac:dyDescent="0.2">
      <c r="A38" t="str">
        <f ca="1">ORÇAMENTO!C38</f>
        <v>S</v>
      </c>
      <c r="B38">
        <f ca="1">ORÇAMENTO!D38</f>
        <v>0</v>
      </c>
      <c r="C38" s="144" t="str">
        <f t="shared" ca="1" si="1"/>
        <v/>
      </c>
      <c r="D38" s="147" t="str">
        <f ca="1">ORÇAMENTO!O38</f>
        <v>-</v>
      </c>
      <c r="E38" s="207" t="str">
        <f t="shared" ca="1" si="2"/>
        <v>(abra o arquivo 'Referência 12-2023.xlsm)</v>
      </c>
      <c r="F38" s="208" t="str">
        <f ca="1">IF(RegimeExecucao="Global","",ORÇAMENTO.Unidade)</f>
        <v>-</v>
      </c>
      <c r="G38" s="152">
        <f ca="1">IF(RegimeExecucao="Global","",ORÇAMENTO!T38)</f>
        <v>48131.939999999995</v>
      </c>
      <c r="H38" s="152">
        <f ca="1">IF(RegimeExecucao="Global","",ORÇAMENTO!W38)</f>
        <v>0</v>
      </c>
      <c r="I38" s="155">
        <f ca="1">ORÇAMENTO!X38</f>
        <v>0</v>
      </c>
      <c r="J38" s="428">
        <f ca="1">IF($A38="S",IF(CAIXA.Modo,BM.AFAnterior,BM.MEDAnterior),IF(AND(RegimeExecucao="Global",$I38&gt;0,COUNTIF($AB$13:$AM$13,BM.medicao-1)&gt;0),M38/$I38*100,0))</f>
        <v>0</v>
      </c>
      <c r="K38" s="152">
        <f t="shared" ca="1" si="3"/>
        <v>0</v>
      </c>
      <c r="L38" s="429">
        <f ca="1">IF($A38="S",IF(CAIXA.Modo,BM.AFAcumulado,BM.MEDAcumulado),IF(AND(RegimeExecucao="Global",$I38&gt;0,COUNTIF($AB$13:$AM$13,BM.medicao)&gt;0),O38/$I38*100,0))</f>
        <v>0</v>
      </c>
      <c r="M38" s="430">
        <f ca="1">IF($A38="S",VTOTALBM,IF($A38=0,0,ROUND(SomaAgrupBM,15-13*ORÇAMENTO!$AF$11)))</f>
        <v>0</v>
      </c>
      <c r="N38" s="431">
        <f t="shared" ca="1" si="4"/>
        <v>0</v>
      </c>
      <c r="O38" s="155">
        <f ca="1">IF($A38="S",VTOTALBM,IF($A38=0,0,ROUND(SomaAgrupBM,15-13*ORÇAMENTO!$AF$11)))</f>
        <v>0</v>
      </c>
      <c r="Q38" s="432"/>
      <c r="R38" s="433"/>
      <c r="T38" s="147" t="str">
        <f t="shared" ca="1" si="5"/>
        <v/>
      </c>
      <c r="U38" s="207" t="str">
        <f t="shared" ca="1" si="6"/>
        <v/>
      </c>
      <c r="V38" s="208" t="str">
        <f ca="1">IF(AND($W38&gt;0,RegimeExecucao="Unitário"),$F38,"")</f>
        <v/>
      </c>
      <c r="W38" s="633">
        <f ca="1">IF($Y38&gt;0,CHOOSE(MATCH(RegimeExecucao,{"Unitário","Global"},0),IF($A38="S",$Y38/$X38,""),($Y38/$X38)*100),0)</f>
        <v>0</v>
      </c>
      <c r="X38" s="434" t="str">
        <f ca="1">IF($Y38&gt;0,CHOOSE(MATCH(RegimeExecucao,{"Unitário","Global"},0),IF($A38="S",ROUND($H38,ORÇAMENTO!$AF$10),""),ROUND($I38,ORÇAMENTO!$AF$11)),"")</f>
        <v/>
      </c>
      <c r="Y38" s="434">
        <f t="shared" ca="1" si="7"/>
        <v>0</v>
      </c>
      <c r="Z38" s="660"/>
      <c r="AB38" s="432"/>
      <c r="AC38" s="599"/>
      <c r="AD38" s="599"/>
      <c r="AE38" s="599"/>
      <c r="AF38" s="599"/>
      <c r="AG38" s="599"/>
      <c r="AH38" s="599"/>
      <c r="AI38" s="599"/>
      <c r="AJ38" s="599"/>
      <c r="AK38" s="599"/>
      <c r="AL38" s="599"/>
      <c r="AM38" s="433"/>
      <c r="AO38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x14ac:dyDescent="0.2">
      <c r="A39">
        <f ca="1">ORÇAMENTO!C39</f>
        <v>2</v>
      </c>
      <c r="B39">
        <f ca="1">ORÇAMENTO!D39</f>
        <v>3</v>
      </c>
      <c r="C39" s="144" t="str">
        <f t="shared" ca="1" si="1"/>
        <v>F</v>
      </c>
      <c r="D39" s="147" t="str">
        <f ca="1">ORÇAMENTO!O39</f>
        <v>1.6.</v>
      </c>
      <c r="E39" s="207" t="str">
        <f t="shared" si="2"/>
        <v xml:space="preserve">MEIO-FIO E DRENAGEM </v>
      </c>
      <c r="F39" s="208" t="str">
        <f ca="1">IF(RegimeExecucao="Global","",ORÇAMENTO.Unidade)</f>
        <v>-</v>
      </c>
      <c r="G39" s="152">
        <f ca="1">IF(RegimeExecucao="Global","",ORÇAMENTO!T39)</f>
        <v>0</v>
      </c>
      <c r="H39" s="152">
        <f ca="1">IF(RegimeExecucao="Global","",ORÇAMENTO!W39)</f>
        <v>0</v>
      </c>
      <c r="I39" s="155">
        <f ca="1">ORÇAMENTO!X39</f>
        <v>0</v>
      </c>
      <c r="J39" s="428">
        <f ca="1">IF($A39="S",IF(CAIXA.Modo,BM.AFAnterior,BM.MEDAnterior),IF(AND(RegimeExecucao="Global",$I39&gt;0,COUNTIF($AB$13:$AM$13,BM.medicao-1)&gt;0),M39/$I39*100,0))</f>
        <v>0</v>
      </c>
      <c r="K39" s="152">
        <f t="shared" ca="1" si="3"/>
        <v>0</v>
      </c>
      <c r="L39" s="429">
        <f ca="1">IF($A39="S",IF(CAIXA.Modo,BM.AFAcumulado,BM.MEDAcumulado),IF(AND(RegimeExecucao="Global",$I39&gt;0,COUNTIF($AB$13:$AM$13,BM.medicao)&gt;0),O39/$I39*100,0))</f>
        <v>0</v>
      </c>
      <c r="M39" s="430">
        <f ca="1">IF($A39="S",VTOTALBM,IF($A39=0,0,ROUND(SomaAgrupBM,15-13*ORÇAMENTO!$AF$11)))</f>
        <v>0</v>
      </c>
      <c r="N39" s="431">
        <f t="shared" ca="1" si="4"/>
        <v>0</v>
      </c>
      <c r="O39" s="155">
        <f ca="1">IF($A39="S",VTOTALBM,IF($A39=0,0,ROUND(SomaAgrupBM,15-13*ORÇAMENTO!$AF$11)))</f>
        <v>0</v>
      </c>
      <c r="Q39" s="432"/>
      <c r="R39" s="433"/>
      <c r="T39" s="147" t="str">
        <f t="shared" ca="1" si="5"/>
        <v/>
      </c>
      <c r="U39" s="207" t="str">
        <f t="shared" ca="1" si="6"/>
        <v/>
      </c>
      <c r="V39" s="208" t="str">
        <f ca="1">IF(AND($W39&gt;0,RegimeExecucao="Unitário"),$F39,"")</f>
        <v/>
      </c>
      <c r="W39" s="633">
        <f ca="1">IF($Y39&gt;0,CHOOSE(MATCH(RegimeExecucao,{"Unitário","Global"},0),IF($A39="S",$Y39/$X39,""),($Y39/$X39)*100),0)</f>
        <v>0</v>
      </c>
      <c r="X39" s="434" t="str">
        <f ca="1">IF($Y39&gt;0,CHOOSE(MATCH(RegimeExecucao,{"Unitário","Global"},0),IF($A39="S",ROUND($H39,ORÇAMENTO!$AF$10),""),ROUND($I39,ORÇAMENTO!$AF$11)),"")</f>
        <v/>
      </c>
      <c r="Y39" s="434">
        <f t="shared" ca="1" si="7"/>
        <v>0</v>
      </c>
      <c r="Z39" s="660"/>
      <c r="AB39" s="432"/>
      <c r="AC39" s="599"/>
      <c r="AD39" s="599"/>
      <c r="AE39" s="599"/>
      <c r="AF39" s="599"/>
      <c r="AG39" s="599"/>
      <c r="AH39" s="599"/>
      <c r="AI39" s="599"/>
      <c r="AJ39" s="599"/>
      <c r="AK39" s="599"/>
      <c r="AL39" s="599"/>
      <c r="AM39" s="433"/>
      <c r="AO39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x14ac:dyDescent="0.2">
      <c r="A40" t="str">
        <f ca="1">ORÇAMENTO!C40</f>
        <v>S</v>
      </c>
      <c r="B40">
        <f ca="1">ORÇAMENTO!D40</f>
        <v>0</v>
      </c>
      <c r="C40" s="144" t="str">
        <f t="shared" ca="1" si="1"/>
        <v/>
      </c>
      <c r="D40" s="147" t="str">
        <f ca="1">ORÇAMENTO!O40</f>
        <v>-</v>
      </c>
      <c r="E40" s="207" t="str">
        <f t="shared" ca="1" si="2"/>
        <v>(abra o arquivo 'Referência 12-2023.xlsm)</v>
      </c>
      <c r="F40" s="208" t="str">
        <f ca="1">IF(RegimeExecucao="Global","",ORÇAMENTO.Unidade)</f>
        <v>-</v>
      </c>
      <c r="G40" s="152">
        <f ca="1">IF(RegimeExecucao="Global","",ORÇAMENTO!T40)</f>
        <v>8467.1200000000008</v>
      </c>
      <c r="H40" s="152">
        <f ca="1">IF(RegimeExecucao="Global","",ORÇAMENTO!W40)</f>
        <v>0</v>
      </c>
      <c r="I40" s="155">
        <f ca="1">ORÇAMENTO!X40</f>
        <v>0</v>
      </c>
      <c r="J40" s="428">
        <f ca="1">IF($A40="S",IF(CAIXA.Modo,BM.AFAnterior,BM.MEDAnterior),IF(AND(RegimeExecucao="Global",$I40&gt;0,COUNTIF($AB$13:$AM$13,BM.medicao-1)&gt;0),M40/$I40*100,0))</f>
        <v>0</v>
      </c>
      <c r="K40" s="152">
        <f t="shared" ca="1" si="3"/>
        <v>0</v>
      </c>
      <c r="L40" s="429">
        <f ca="1">IF($A40="S",IF(CAIXA.Modo,BM.AFAcumulado,BM.MEDAcumulado),IF(AND(RegimeExecucao="Global",$I40&gt;0,COUNTIF($AB$13:$AM$13,BM.medicao)&gt;0),O40/$I40*100,0))</f>
        <v>0</v>
      </c>
      <c r="M40" s="430">
        <f ca="1">IF($A40="S",VTOTALBM,IF($A40=0,0,ROUND(SomaAgrupBM,15-13*ORÇAMENTO!$AF$11)))</f>
        <v>0</v>
      </c>
      <c r="N40" s="431">
        <f t="shared" ca="1" si="4"/>
        <v>0</v>
      </c>
      <c r="O40" s="155">
        <f ca="1">IF($A40="S",VTOTALBM,IF($A40=0,0,ROUND(SomaAgrupBM,15-13*ORÇAMENTO!$AF$11)))</f>
        <v>0</v>
      </c>
      <c r="Q40" s="432"/>
      <c r="R40" s="433"/>
      <c r="T40" s="147" t="str">
        <f t="shared" ca="1" si="5"/>
        <v/>
      </c>
      <c r="U40" s="207" t="str">
        <f t="shared" ca="1" si="6"/>
        <v/>
      </c>
      <c r="V40" s="208" t="str">
        <f ca="1">IF(AND($W40&gt;0,RegimeExecucao="Unitário"),$F40,"")</f>
        <v/>
      </c>
      <c r="W40" s="633">
        <f ca="1">IF($Y40&gt;0,CHOOSE(MATCH(RegimeExecucao,{"Unitário","Global"},0),IF($A40="S",$Y40/$X40,""),($Y40/$X40)*100),0)</f>
        <v>0</v>
      </c>
      <c r="X40" s="434" t="str">
        <f ca="1">IF($Y40&gt;0,CHOOSE(MATCH(RegimeExecucao,{"Unitário","Global"},0),IF($A40="S",ROUND($H40,ORÇAMENTO!$AF$10),""),ROUND($I40,ORÇAMENTO!$AF$11)),"")</f>
        <v/>
      </c>
      <c r="Y40" s="434">
        <f t="shared" ca="1" si="7"/>
        <v>0</v>
      </c>
      <c r="Z40" s="660"/>
      <c r="AB40" s="432"/>
      <c r="AC40" s="599"/>
      <c r="AD40" s="599"/>
      <c r="AE40" s="599"/>
      <c r="AF40" s="599"/>
      <c r="AG40" s="599"/>
      <c r="AH40" s="599"/>
      <c r="AI40" s="599"/>
      <c r="AJ40" s="599"/>
      <c r="AK40" s="599"/>
      <c r="AL40" s="599"/>
      <c r="AM40" s="433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x14ac:dyDescent="0.2">
      <c r="A41" t="str">
        <f ca="1">ORÇAMENTO!C41</f>
        <v>S</v>
      </c>
      <c r="B41">
        <f ca="1">ORÇAMENTO!D41</f>
        <v>0</v>
      </c>
      <c r="C41" s="144" t="str">
        <f t="shared" ca="1" si="1"/>
        <v/>
      </c>
      <c r="D41" s="147" t="str">
        <f ca="1">ORÇAMENTO!O41</f>
        <v>-</v>
      </c>
      <c r="E41" s="207" t="str">
        <f t="shared" ca="1" si="2"/>
        <v>(abra o arquivo 'Referência 12-2023.xlsm)</v>
      </c>
      <c r="F41" s="208" t="str">
        <f ca="1">IF(RegimeExecucao="Global","",ORÇAMENTO.Unidade)</f>
        <v>-</v>
      </c>
      <c r="G41" s="152">
        <f ca="1">IF(RegimeExecucao="Global","",ORÇAMENTO!T41)</f>
        <v>590.81000000000006</v>
      </c>
      <c r="H41" s="152">
        <f ca="1">IF(RegimeExecucao="Global","",ORÇAMENTO!W41)</f>
        <v>0</v>
      </c>
      <c r="I41" s="155">
        <f ca="1">ORÇAMENTO!X41</f>
        <v>0</v>
      </c>
      <c r="J41" s="428">
        <f ca="1">IF($A41="S",IF(CAIXA.Modo,BM.AFAnterior,BM.MEDAnterior),IF(AND(RegimeExecucao="Global",$I41&gt;0,COUNTIF($AB$13:$AM$13,BM.medicao-1)&gt;0),M41/$I41*100,0))</f>
        <v>0</v>
      </c>
      <c r="K41" s="152">
        <f t="shared" ca="1" si="3"/>
        <v>0</v>
      </c>
      <c r="L41" s="429">
        <f ca="1">IF($A41="S",IF(CAIXA.Modo,BM.AFAcumulado,BM.MEDAcumulado),IF(AND(RegimeExecucao="Global",$I41&gt;0,COUNTIF($AB$13:$AM$13,BM.medicao)&gt;0),O41/$I41*100,0))</f>
        <v>0</v>
      </c>
      <c r="M41" s="430">
        <f ca="1">IF($A41="S",VTOTALBM,IF($A41=0,0,ROUND(SomaAgrupBM,15-13*ORÇAMENTO!$AF$11)))</f>
        <v>0</v>
      </c>
      <c r="N41" s="431">
        <f t="shared" ca="1" si="4"/>
        <v>0</v>
      </c>
      <c r="O41" s="155">
        <f ca="1">IF($A41="S",VTOTALBM,IF($A41=0,0,ROUND(SomaAgrupBM,15-13*ORÇAMENTO!$AF$11)))</f>
        <v>0</v>
      </c>
      <c r="Q41" s="432"/>
      <c r="R41" s="433"/>
      <c r="T41" s="147" t="str">
        <f t="shared" ca="1" si="5"/>
        <v/>
      </c>
      <c r="U41" s="207" t="str">
        <f t="shared" ca="1" si="6"/>
        <v/>
      </c>
      <c r="V41" s="208" t="str">
        <f ca="1">IF(AND($W41&gt;0,RegimeExecucao="Unitário"),$F41,"")</f>
        <v/>
      </c>
      <c r="W41" s="633">
        <f ca="1">IF($Y41&gt;0,CHOOSE(MATCH(RegimeExecucao,{"Unitário","Global"},0),IF($A41="S",$Y41/$X41,""),($Y41/$X41)*100),0)</f>
        <v>0</v>
      </c>
      <c r="X41" s="434" t="str">
        <f ca="1">IF($Y41&gt;0,CHOOSE(MATCH(RegimeExecucao,{"Unitário","Global"},0),IF($A41="S",ROUND($H41,ORÇAMENTO!$AF$10),""),ROUND($I41,ORÇAMENTO!$AF$11)),"")</f>
        <v/>
      </c>
      <c r="Y41" s="434">
        <f t="shared" ca="1" si="7"/>
        <v>0</v>
      </c>
      <c r="Z41" s="660"/>
      <c r="AB41" s="432"/>
      <c r="AC41" s="599"/>
      <c r="AD41" s="599"/>
      <c r="AE41" s="599"/>
      <c r="AF41" s="599"/>
      <c r="AG41" s="599"/>
      <c r="AH41" s="599"/>
      <c r="AI41" s="599"/>
      <c r="AJ41" s="599"/>
      <c r="AK41" s="599"/>
      <c r="AL41" s="599"/>
      <c r="AM41" s="433"/>
      <c r="AO41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x14ac:dyDescent="0.2">
      <c r="A42">
        <f ca="1">ORÇAMENTO!C42</f>
        <v>2</v>
      </c>
      <c r="B42">
        <f ca="1">ORÇAMENTO!D42</f>
        <v>7</v>
      </c>
      <c r="C42" s="144" t="str">
        <f t="shared" ca="1" si="1"/>
        <v>F</v>
      </c>
      <c r="D42" s="147" t="str">
        <f ca="1">ORÇAMENTO!O42</f>
        <v>1.7.</v>
      </c>
      <c r="E42" s="207" t="str">
        <f t="shared" si="2"/>
        <v>PASSEIO E SINALIZAÇÃO</v>
      </c>
      <c r="F42" s="208" t="str">
        <f ca="1">IF(RegimeExecucao="Global","",ORÇAMENTO.Unidade)</f>
        <v>-</v>
      </c>
      <c r="G42" s="152">
        <f ca="1">IF(RegimeExecucao="Global","",ORÇAMENTO!T42)</f>
        <v>0</v>
      </c>
      <c r="H42" s="152">
        <f ca="1">IF(RegimeExecucao="Global","",ORÇAMENTO!W42)</f>
        <v>0</v>
      </c>
      <c r="I42" s="155">
        <f ca="1">ORÇAMENTO!X42</f>
        <v>0</v>
      </c>
      <c r="J42" s="428">
        <f ca="1">IF($A42="S",IF(CAIXA.Modo,BM.AFAnterior,BM.MEDAnterior),IF(AND(RegimeExecucao="Global",$I42&gt;0,COUNTIF($AB$13:$AM$13,BM.medicao-1)&gt;0),M42/$I42*100,0))</f>
        <v>0</v>
      </c>
      <c r="K42" s="152">
        <f t="shared" ca="1" si="3"/>
        <v>0</v>
      </c>
      <c r="L42" s="429">
        <f ca="1">IF($A42="S",IF(CAIXA.Modo,BM.AFAcumulado,BM.MEDAcumulado),IF(AND(RegimeExecucao="Global",$I42&gt;0,COUNTIF($AB$13:$AM$13,BM.medicao)&gt;0),O42/$I42*100,0))</f>
        <v>0</v>
      </c>
      <c r="M42" s="430">
        <f ca="1">IF($A42="S",VTOTALBM,IF($A42=0,0,ROUND(SomaAgrupBM,15-13*ORÇAMENTO!$AF$11)))</f>
        <v>0</v>
      </c>
      <c r="N42" s="431">
        <f t="shared" ca="1" si="4"/>
        <v>0</v>
      </c>
      <c r="O42" s="155">
        <f ca="1">IF($A42="S",VTOTALBM,IF($A42=0,0,ROUND(SomaAgrupBM,15-13*ORÇAMENTO!$AF$11)))</f>
        <v>0</v>
      </c>
      <c r="Q42" s="432"/>
      <c r="R42" s="433"/>
      <c r="T42" s="147" t="str">
        <f t="shared" ca="1" si="5"/>
        <v/>
      </c>
      <c r="U42" s="207" t="str">
        <f t="shared" ca="1" si="6"/>
        <v/>
      </c>
      <c r="V42" s="208" t="str">
        <f ca="1">IF(AND($W42&gt;0,RegimeExecucao="Unitário"),$F42,"")</f>
        <v/>
      </c>
      <c r="W42" s="633">
        <f ca="1">IF($Y42&gt;0,CHOOSE(MATCH(RegimeExecucao,{"Unitário","Global"},0),IF($A42="S",$Y42/$X42,""),($Y42/$X42)*100),0)</f>
        <v>0</v>
      </c>
      <c r="X42" s="434" t="str">
        <f ca="1">IF($Y42&gt;0,CHOOSE(MATCH(RegimeExecucao,{"Unitário","Global"},0),IF($A42="S",ROUND($H42,ORÇAMENTO!$AF$10),""),ROUND($I42,ORÇAMENTO!$AF$11)),"")</f>
        <v/>
      </c>
      <c r="Y42" s="434">
        <f t="shared" ca="1" si="7"/>
        <v>0</v>
      </c>
      <c r="Z42" s="660"/>
      <c r="AB42" s="432"/>
      <c r="AC42" s="599"/>
      <c r="AD42" s="599"/>
      <c r="AE42" s="599"/>
      <c r="AF42" s="599"/>
      <c r="AG42" s="599"/>
      <c r="AH42" s="599"/>
      <c r="AI42" s="599"/>
      <c r="AJ42" s="599"/>
      <c r="AK42" s="599"/>
      <c r="AL42" s="599"/>
      <c r="AM42" s="433"/>
      <c r="AO42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x14ac:dyDescent="0.2">
      <c r="A43" t="str">
        <f ca="1">ORÇAMENTO!C43</f>
        <v>S</v>
      </c>
      <c r="B43">
        <f ca="1">ORÇAMENTO!D43</f>
        <v>0</v>
      </c>
      <c r="C43" s="144" t="str">
        <f t="shared" ca="1" si="1"/>
        <v/>
      </c>
      <c r="D43" s="147" t="str">
        <f ca="1">ORÇAMENTO!O43</f>
        <v>-</v>
      </c>
      <c r="E43" s="207" t="str">
        <f t="shared" ca="1" si="2"/>
        <v>(abra o arquivo 'Referência 12-2023.xlsm)</v>
      </c>
      <c r="F43" s="208" t="str">
        <f ca="1">IF(RegimeExecucao="Global","",ORÇAMENTO.Unidade)</f>
        <v>-</v>
      </c>
      <c r="G43" s="152">
        <f ca="1">IF(RegimeExecucao="Global","",ORÇAMENTO!T43)</f>
        <v>812.84999999999991</v>
      </c>
      <c r="H43" s="152">
        <f ca="1">IF(RegimeExecucao="Global","",ORÇAMENTO!W43)</f>
        <v>0</v>
      </c>
      <c r="I43" s="155">
        <f ca="1">ORÇAMENTO!X43</f>
        <v>0</v>
      </c>
      <c r="J43" s="428">
        <f ca="1">IF($A43="S",IF(CAIXA.Modo,BM.AFAnterior,BM.MEDAnterior),IF(AND(RegimeExecucao="Global",$I43&gt;0,COUNTIF($AB$13:$AM$13,BM.medicao-1)&gt;0),M43/$I43*100,0))</f>
        <v>0</v>
      </c>
      <c r="K43" s="152">
        <f t="shared" ca="1" si="3"/>
        <v>0</v>
      </c>
      <c r="L43" s="429">
        <f ca="1">IF($A43="S",IF(CAIXA.Modo,BM.AFAcumulado,BM.MEDAcumulado),IF(AND(RegimeExecucao="Global",$I43&gt;0,COUNTIF($AB$13:$AM$13,BM.medicao)&gt;0),O43/$I43*100,0))</f>
        <v>0</v>
      </c>
      <c r="M43" s="430">
        <f ca="1">IF($A43="S",VTOTALBM,IF($A43=0,0,ROUND(SomaAgrupBM,15-13*ORÇAMENTO!$AF$11)))</f>
        <v>0</v>
      </c>
      <c r="N43" s="431">
        <f t="shared" ca="1" si="4"/>
        <v>0</v>
      </c>
      <c r="O43" s="155">
        <f ca="1">IF($A43="S",VTOTALBM,IF($A43=0,0,ROUND(SomaAgrupBM,15-13*ORÇAMENTO!$AF$11)))</f>
        <v>0</v>
      </c>
      <c r="Q43" s="432"/>
      <c r="R43" s="433"/>
      <c r="T43" s="147" t="str">
        <f t="shared" ca="1" si="5"/>
        <v/>
      </c>
      <c r="U43" s="207" t="str">
        <f t="shared" ca="1" si="6"/>
        <v/>
      </c>
      <c r="V43" s="208" t="str">
        <f ca="1">IF(AND($W43&gt;0,RegimeExecucao="Unitário"),$F43,"")</f>
        <v/>
      </c>
      <c r="W43" s="633">
        <f ca="1">IF($Y43&gt;0,CHOOSE(MATCH(RegimeExecucao,{"Unitário","Global"},0),IF($A43="S",$Y43/$X43,""),($Y43/$X43)*100),0)</f>
        <v>0</v>
      </c>
      <c r="X43" s="434" t="str">
        <f ca="1">IF($Y43&gt;0,CHOOSE(MATCH(RegimeExecucao,{"Unitário","Global"},0),IF($A43="S",ROUND($H43,ORÇAMENTO!$AF$10),""),ROUND($I43,ORÇAMENTO!$AF$11)),"")</f>
        <v/>
      </c>
      <c r="Y43" s="434">
        <f t="shared" ca="1" si="7"/>
        <v>0</v>
      </c>
      <c r="Z43" s="660"/>
      <c r="AB43" s="432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433"/>
      <c r="AO43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x14ac:dyDescent="0.2">
      <c r="A44" t="str">
        <f ca="1">ORÇAMENTO!C44</f>
        <v>S</v>
      </c>
      <c r="B44">
        <f ca="1">ORÇAMENTO!D44</f>
        <v>0</v>
      </c>
      <c r="C44" s="144" t="str">
        <f t="shared" ca="1" si="1"/>
        <v/>
      </c>
      <c r="D44" s="147" t="str">
        <f ca="1">ORÇAMENTO!O44</f>
        <v>-</v>
      </c>
      <c r="E44" s="207" t="str">
        <f t="shared" ca="1" si="2"/>
        <v>(abra o arquivo 'Referência 12-2023.xlsm)</v>
      </c>
      <c r="F44" s="208" t="str">
        <f ca="1">IF(RegimeExecucao="Global","",ORÇAMENTO.Unidade)</f>
        <v>-</v>
      </c>
      <c r="G44" s="152">
        <f ca="1">IF(RegimeExecucao="Global","",ORÇAMENTO!T44)</f>
        <v>609.62</v>
      </c>
      <c r="H44" s="152">
        <f ca="1">IF(RegimeExecucao="Global","",ORÇAMENTO!W44)</f>
        <v>0</v>
      </c>
      <c r="I44" s="155">
        <f ca="1">ORÇAMENTO!X44</f>
        <v>0</v>
      </c>
      <c r="J44" s="428">
        <f ca="1">IF($A44="S",IF(CAIXA.Modo,BM.AFAnterior,BM.MEDAnterior),IF(AND(RegimeExecucao="Global",$I44&gt;0,COUNTIF($AB$13:$AM$13,BM.medicao-1)&gt;0),M44/$I44*100,0))</f>
        <v>0</v>
      </c>
      <c r="K44" s="152">
        <f t="shared" ca="1" si="3"/>
        <v>0</v>
      </c>
      <c r="L44" s="429">
        <f ca="1">IF($A44="S",IF(CAIXA.Modo,BM.AFAcumulado,BM.MEDAcumulado),IF(AND(RegimeExecucao="Global",$I44&gt;0,COUNTIF($AB$13:$AM$13,BM.medicao)&gt;0),O44/$I44*100,0))</f>
        <v>0</v>
      </c>
      <c r="M44" s="430">
        <f ca="1">IF($A44="S",VTOTALBM,IF($A44=0,0,ROUND(SomaAgrupBM,15-13*ORÇAMENTO!$AF$11)))</f>
        <v>0</v>
      </c>
      <c r="N44" s="431">
        <f t="shared" ca="1" si="4"/>
        <v>0</v>
      </c>
      <c r="O44" s="155">
        <f ca="1">IF($A44="S",VTOTALBM,IF($A44=0,0,ROUND(SomaAgrupBM,15-13*ORÇAMENTO!$AF$11)))</f>
        <v>0</v>
      </c>
      <c r="Q44" s="432"/>
      <c r="R44" s="433"/>
      <c r="T44" s="147" t="str">
        <f t="shared" ca="1" si="5"/>
        <v/>
      </c>
      <c r="U44" s="207" t="str">
        <f t="shared" ca="1" si="6"/>
        <v/>
      </c>
      <c r="V44" s="208" t="str">
        <f ca="1">IF(AND($W44&gt;0,RegimeExecucao="Unitário"),$F44,"")</f>
        <v/>
      </c>
      <c r="W44" s="633">
        <f ca="1">IF($Y44&gt;0,CHOOSE(MATCH(RegimeExecucao,{"Unitário","Global"},0),IF($A44="S",$Y44/$X44,""),($Y44/$X44)*100),0)</f>
        <v>0</v>
      </c>
      <c r="X44" s="434" t="str">
        <f ca="1">IF($Y44&gt;0,CHOOSE(MATCH(RegimeExecucao,{"Unitário","Global"},0),IF($A44="S",ROUND($H44,ORÇAMENTO!$AF$10),""),ROUND($I44,ORÇAMENTO!$AF$11)),"")</f>
        <v/>
      </c>
      <c r="Y44" s="434">
        <f t="shared" ca="1" si="7"/>
        <v>0</v>
      </c>
      <c r="Z44" s="660"/>
      <c r="AB44" s="432"/>
      <c r="AC44" s="599"/>
      <c r="AD44" s="599"/>
      <c r="AE44" s="599"/>
      <c r="AF44" s="599"/>
      <c r="AG44" s="599"/>
      <c r="AH44" s="599"/>
      <c r="AI44" s="599"/>
      <c r="AJ44" s="599"/>
      <c r="AK44" s="599"/>
      <c r="AL44" s="599"/>
      <c r="AM44" s="433"/>
      <c r="AO44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 t="str">
        <f ca="1">ORÇAMENTO!C45</f>
        <v>S</v>
      </c>
      <c r="B45">
        <f ca="1">ORÇAMENTO!D45</f>
        <v>0</v>
      </c>
      <c r="C45" s="144" t="str">
        <f t="shared" ca="1" si="1"/>
        <v/>
      </c>
      <c r="D45" s="147" t="str">
        <f ca="1">ORÇAMENTO!O45</f>
        <v>-</v>
      </c>
      <c r="E45" s="207" t="str">
        <f t="shared" ca="1" si="2"/>
        <v>(abra o arquivo 'Referência 12-2023.xlsm)</v>
      </c>
      <c r="F45" s="208" t="str">
        <f ca="1">IF(RegimeExecucao="Global","",ORÇAMENTO.Unidade)</f>
        <v>-</v>
      </c>
      <c r="G45" s="152">
        <f ca="1">IF(RegimeExecucao="Global","",ORÇAMENTO!T45)</f>
        <v>1693.43</v>
      </c>
      <c r="H45" s="152">
        <f ca="1">IF(RegimeExecucao="Global","",ORÇAMENTO!W45)</f>
        <v>0</v>
      </c>
      <c r="I45" s="155">
        <f ca="1">ORÇAMENTO!X45</f>
        <v>0</v>
      </c>
      <c r="J45" s="428">
        <f ca="1">IF($A45="S",IF(CAIXA.Modo,BM.AFAnterior,BM.MEDAnterior),IF(AND(RegimeExecucao="Global",$I45&gt;0,COUNTIF($AB$13:$AM$13,BM.medicao-1)&gt;0),M45/$I45*100,0))</f>
        <v>0</v>
      </c>
      <c r="K45" s="152">
        <f t="shared" ca="1" si="3"/>
        <v>0</v>
      </c>
      <c r="L45" s="429">
        <f ca="1">IF($A45="S",IF(CAIXA.Modo,BM.AFAcumulado,BM.MEDAcumulado),IF(AND(RegimeExecucao="Global",$I45&gt;0,COUNTIF($AB$13:$AM$13,BM.medicao)&gt;0),O45/$I45*100,0))</f>
        <v>0</v>
      </c>
      <c r="M45" s="430">
        <f ca="1">IF($A45="S",VTOTALBM,IF($A45=0,0,ROUND(SomaAgrupBM,15-13*ORÇAMENTO!$AF$11)))</f>
        <v>0</v>
      </c>
      <c r="N45" s="431">
        <f t="shared" ca="1" si="4"/>
        <v>0</v>
      </c>
      <c r="O45" s="155">
        <f ca="1">IF($A45="S",VTOTALBM,IF($A45=0,0,ROUND(SomaAgrupBM,15-13*ORÇAMENTO!$AF$11)))</f>
        <v>0</v>
      </c>
      <c r="Q45" s="432"/>
      <c r="R45" s="433"/>
      <c r="T45" s="147" t="str">
        <f t="shared" ca="1" si="5"/>
        <v/>
      </c>
      <c r="U45" s="207" t="str">
        <f t="shared" ca="1" si="6"/>
        <v/>
      </c>
      <c r="V45" s="208" t="str">
        <f ca="1">IF(AND($W45&gt;0,RegimeExecucao="Unitário"),$F45,"")</f>
        <v/>
      </c>
      <c r="W45" s="633">
        <f ca="1">IF($Y45&gt;0,CHOOSE(MATCH(RegimeExecucao,{"Unitário","Global"},0),IF($A45="S",$Y45/$X45,""),($Y45/$X45)*100),0)</f>
        <v>0</v>
      </c>
      <c r="X45" s="434" t="str">
        <f ca="1">IF($Y45&gt;0,CHOOSE(MATCH(RegimeExecucao,{"Unitário","Global"},0),IF($A45="S",ROUND($H45,ORÇAMENTO!$AF$10),""),ROUND($I45,ORÇAMENTO!$AF$11)),"")</f>
        <v/>
      </c>
      <c r="Y45" s="434">
        <f t="shared" ca="1" si="7"/>
        <v>0</v>
      </c>
      <c r="Z45" s="660"/>
      <c r="AB45" s="432"/>
      <c r="AC45" s="599"/>
      <c r="AD45" s="599"/>
      <c r="AE45" s="599"/>
      <c r="AF45" s="599"/>
      <c r="AG45" s="599"/>
      <c r="AH45" s="599"/>
      <c r="AI45" s="599"/>
      <c r="AJ45" s="599"/>
      <c r="AK45" s="599"/>
      <c r="AL45" s="599"/>
      <c r="AM45" s="433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x14ac:dyDescent="0.2">
      <c r="A46" t="str">
        <f ca="1">ORÇAMENTO!C46</f>
        <v>S</v>
      </c>
      <c r="B46">
        <f ca="1">ORÇAMENTO!D46</f>
        <v>0</v>
      </c>
      <c r="C46" s="144" t="str">
        <f t="shared" ca="1" si="1"/>
        <v/>
      </c>
      <c r="D46" s="147" t="str">
        <f ca="1">ORÇAMENTO!O46</f>
        <v>-</v>
      </c>
      <c r="E46" s="207" t="str">
        <f t="shared" ca="1" si="2"/>
        <v>(abra o arquivo 'Referência 12-2023.xlsm)</v>
      </c>
      <c r="F46" s="208" t="str">
        <f ca="1">IF(RegimeExecucao="Global","",ORÇAMENTO.Unidade)</f>
        <v>-</v>
      </c>
      <c r="G46" s="152">
        <f ca="1">IF(RegimeExecucao="Global","",ORÇAMENTO!T46)</f>
        <v>761.4</v>
      </c>
      <c r="H46" s="152">
        <f ca="1">IF(RegimeExecucao="Global","",ORÇAMENTO!W46)</f>
        <v>0</v>
      </c>
      <c r="I46" s="155">
        <f ca="1">ORÇAMENTO!X46</f>
        <v>0</v>
      </c>
      <c r="J46" s="428">
        <f ca="1">IF($A46="S",IF(CAIXA.Modo,BM.AFAnterior,BM.MEDAnterior),IF(AND(RegimeExecucao="Global",$I46&gt;0,COUNTIF($AB$13:$AM$13,BM.medicao-1)&gt;0),M46/$I46*100,0))</f>
        <v>0</v>
      </c>
      <c r="K46" s="152">
        <f t="shared" ca="1" si="3"/>
        <v>0</v>
      </c>
      <c r="L46" s="429">
        <f ca="1">IF($A46="S",IF(CAIXA.Modo,BM.AFAcumulado,BM.MEDAcumulado),IF(AND(RegimeExecucao="Global",$I46&gt;0,COUNTIF($AB$13:$AM$13,BM.medicao)&gt;0),O46/$I46*100,0))</f>
        <v>0</v>
      </c>
      <c r="M46" s="430">
        <f ca="1">IF($A46="S",VTOTALBM,IF($A46=0,0,ROUND(SomaAgrupBM,15-13*ORÇAMENTO!$AF$11)))</f>
        <v>0</v>
      </c>
      <c r="N46" s="431">
        <f t="shared" ca="1" si="4"/>
        <v>0</v>
      </c>
      <c r="O46" s="155">
        <f ca="1">IF($A46="S",VTOTALBM,IF($A46=0,0,ROUND(SomaAgrupBM,15-13*ORÇAMENTO!$AF$11)))</f>
        <v>0</v>
      </c>
      <c r="Q46" s="432"/>
      <c r="R46" s="433"/>
      <c r="T46" s="147" t="str">
        <f t="shared" ca="1" si="5"/>
        <v/>
      </c>
      <c r="U46" s="207" t="str">
        <f t="shared" ca="1" si="6"/>
        <v/>
      </c>
      <c r="V46" s="208" t="str">
        <f ca="1">IF(AND($W46&gt;0,RegimeExecucao="Unitário"),$F46,"")</f>
        <v/>
      </c>
      <c r="W46" s="633">
        <f ca="1">IF($Y46&gt;0,CHOOSE(MATCH(RegimeExecucao,{"Unitário","Global"},0),IF($A46="S",$Y46/$X46,""),($Y46/$X46)*100),0)</f>
        <v>0</v>
      </c>
      <c r="X46" s="434" t="str">
        <f ca="1">IF($Y46&gt;0,CHOOSE(MATCH(RegimeExecucao,{"Unitário","Global"},0),IF($A46="S",ROUND($H46,ORÇAMENTO!$AF$10),""),ROUND($I46,ORÇAMENTO!$AF$11)),"")</f>
        <v/>
      </c>
      <c r="Y46" s="434">
        <f t="shared" ca="1" si="7"/>
        <v>0</v>
      </c>
      <c r="Z46" s="660"/>
      <c r="AB46" s="432"/>
      <c r="AC46" s="599"/>
      <c r="AD46" s="599"/>
      <c r="AE46" s="599"/>
      <c r="AF46" s="599"/>
      <c r="AG46" s="599"/>
      <c r="AH46" s="599"/>
      <c r="AI46" s="599"/>
      <c r="AJ46" s="599"/>
      <c r="AK46" s="599"/>
      <c r="AL46" s="599"/>
      <c r="AM46" s="433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x14ac:dyDescent="0.2">
      <c r="A47" t="str">
        <f ca="1">ORÇAMENTO!C47</f>
        <v>S</v>
      </c>
      <c r="B47">
        <f ca="1">ORÇAMENTO!D47</f>
        <v>0</v>
      </c>
      <c r="C47" s="144" t="str">
        <f t="shared" ca="1" si="1"/>
        <v/>
      </c>
      <c r="D47" s="147" t="str">
        <f ca="1">ORÇAMENTO!O47</f>
        <v>-</v>
      </c>
      <c r="E47" s="207" t="str">
        <f t="shared" ca="1" si="2"/>
        <v>(abra o arquivo 'Referência 12-2023.xlsm)</v>
      </c>
      <c r="F47" s="208" t="str">
        <f ca="1">IF(RegimeExecucao="Global","",ORÇAMENTO.Unidade)</f>
        <v>-</v>
      </c>
      <c r="G47" s="152">
        <f ca="1">IF(RegimeExecucao="Global","",ORÇAMENTO!T47)</f>
        <v>30.779999999999998</v>
      </c>
      <c r="H47" s="152">
        <f ca="1">IF(RegimeExecucao="Global","",ORÇAMENTO!W47)</f>
        <v>0</v>
      </c>
      <c r="I47" s="155">
        <f ca="1">ORÇAMENTO!X47</f>
        <v>0</v>
      </c>
      <c r="J47" s="428">
        <f ca="1">IF($A47="S",IF(CAIXA.Modo,BM.AFAnterior,BM.MEDAnterior),IF(AND(RegimeExecucao="Global",$I47&gt;0,COUNTIF($AB$13:$AM$13,BM.medicao-1)&gt;0),M47/$I47*100,0))</f>
        <v>0</v>
      </c>
      <c r="K47" s="152">
        <f t="shared" ca="1" si="3"/>
        <v>0</v>
      </c>
      <c r="L47" s="429">
        <f ca="1">IF($A47="S",IF(CAIXA.Modo,BM.AFAcumulado,BM.MEDAcumulado),IF(AND(RegimeExecucao="Global",$I47&gt;0,COUNTIF($AB$13:$AM$13,BM.medicao)&gt;0),O47/$I47*100,0))</f>
        <v>0</v>
      </c>
      <c r="M47" s="430">
        <f ca="1">IF($A47="S",VTOTALBM,IF($A47=0,0,ROUND(SomaAgrupBM,15-13*ORÇAMENTO!$AF$11)))</f>
        <v>0</v>
      </c>
      <c r="N47" s="431">
        <f t="shared" ca="1" si="4"/>
        <v>0</v>
      </c>
      <c r="O47" s="155">
        <f ca="1">IF($A47="S",VTOTALBM,IF($A47=0,0,ROUND(SomaAgrupBM,15-13*ORÇAMENTO!$AF$11)))</f>
        <v>0</v>
      </c>
      <c r="Q47" s="432"/>
      <c r="R47" s="433"/>
      <c r="T47" s="147" t="str">
        <f t="shared" ca="1" si="5"/>
        <v/>
      </c>
      <c r="U47" s="207" t="str">
        <f t="shared" ca="1" si="6"/>
        <v/>
      </c>
      <c r="V47" s="208" t="str">
        <f ca="1">IF(AND($W47&gt;0,RegimeExecucao="Unitário"),$F47,"")</f>
        <v/>
      </c>
      <c r="W47" s="633">
        <f ca="1">IF($Y47&gt;0,CHOOSE(MATCH(RegimeExecucao,{"Unitário","Global"},0),IF($A47="S",$Y47/$X47,""),($Y47/$X47)*100),0)</f>
        <v>0</v>
      </c>
      <c r="X47" s="434" t="str">
        <f ca="1">IF($Y47&gt;0,CHOOSE(MATCH(RegimeExecucao,{"Unitário","Global"},0),IF($A47="S",ROUND($H47,ORÇAMENTO!$AF$10),""),ROUND($I47,ORÇAMENTO!$AF$11)),"")</f>
        <v/>
      </c>
      <c r="Y47" s="434">
        <f t="shared" ca="1" si="7"/>
        <v>0</v>
      </c>
      <c r="Z47" s="660"/>
      <c r="AB47" s="432"/>
      <c r="AC47" s="599"/>
      <c r="AD47" s="599"/>
      <c r="AE47" s="599"/>
      <c r="AF47" s="599"/>
      <c r="AG47" s="599"/>
      <c r="AH47" s="599"/>
      <c r="AI47" s="599"/>
      <c r="AJ47" s="599"/>
      <c r="AK47" s="599"/>
      <c r="AL47" s="599"/>
      <c r="AM47" s="433"/>
      <c r="AO4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x14ac:dyDescent="0.2">
      <c r="A48" t="str">
        <f ca="1">ORÇAMENTO!C48</f>
        <v>S</v>
      </c>
      <c r="B48">
        <f ca="1">ORÇAMENTO!D48</f>
        <v>0</v>
      </c>
      <c r="C48" s="144" t="str">
        <f t="shared" ca="1" si="1"/>
        <v/>
      </c>
      <c r="D48" s="147" t="str">
        <f ca="1">ORÇAMENTO!O48</f>
        <v>-</v>
      </c>
      <c r="E48" s="207" t="str">
        <f t="shared" ca="1" si="2"/>
        <v>(abra o arquivo 'Referência 12-2023.xlsm)</v>
      </c>
      <c r="F48" s="208" t="str">
        <f ca="1">IF(RegimeExecucao="Global","",ORÇAMENTO.Unidade)</f>
        <v>-</v>
      </c>
      <c r="G48" s="152">
        <f ca="1">IF(RegimeExecucao="Global","",ORÇAMENTO!T48)</f>
        <v>5.5200000000000014</v>
      </c>
      <c r="H48" s="152">
        <f ca="1">IF(RegimeExecucao="Global","",ORÇAMENTO!W48)</f>
        <v>0</v>
      </c>
      <c r="I48" s="155">
        <f ca="1">ORÇAMENTO!X48</f>
        <v>0</v>
      </c>
      <c r="J48" s="428">
        <f ca="1">IF($A48="S",IF(CAIXA.Modo,BM.AFAnterior,BM.MEDAnterior),IF(AND(RegimeExecucao="Global",$I48&gt;0,COUNTIF($AB$13:$AM$13,BM.medicao-1)&gt;0),M48/$I48*100,0))</f>
        <v>0</v>
      </c>
      <c r="K48" s="152">
        <f t="shared" ca="1" si="3"/>
        <v>0</v>
      </c>
      <c r="L48" s="429">
        <f ca="1">IF($A48="S",IF(CAIXA.Modo,BM.AFAcumulado,BM.MEDAcumulado),IF(AND(RegimeExecucao="Global",$I48&gt;0,COUNTIF($AB$13:$AM$13,BM.medicao)&gt;0),O48/$I48*100,0))</f>
        <v>0</v>
      </c>
      <c r="M48" s="430">
        <f ca="1">IF($A48="S",VTOTALBM,IF($A48=0,0,ROUND(SomaAgrupBM,15-13*ORÇAMENTO!$AF$11)))</f>
        <v>0</v>
      </c>
      <c r="N48" s="431">
        <f t="shared" ca="1" si="4"/>
        <v>0</v>
      </c>
      <c r="O48" s="155">
        <f ca="1">IF($A48="S",VTOTALBM,IF($A48=0,0,ROUND(SomaAgrupBM,15-13*ORÇAMENTO!$AF$11)))</f>
        <v>0</v>
      </c>
      <c r="Q48" s="432"/>
      <c r="R48" s="433"/>
      <c r="T48" s="147" t="str">
        <f t="shared" ca="1" si="5"/>
        <v/>
      </c>
      <c r="U48" s="207" t="str">
        <f t="shared" ca="1" si="6"/>
        <v/>
      </c>
      <c r="V48" s="208" t="str">
        <f ca="1">IF(AND($W48&gt;0,RegimeExecucao="Unitário"),$F48,"")</f>
        <v/>
      </c>
      <c r="W48" s="633">
        <f ca="1">IF($Y48&gt;0,CHOOSE(MATCH(RegimeExecucao,{"Unitário","Global"},0),IF($A48="S",$Y48/$X48,""),($Y48/$X48)*100),0)</f>
        <v>0</v>
      </c>
      <c r="X48" s="434" t="str">
        <f ca="1">IF($Y48&gt;0,CHOOSE(MATCH(RegimeExecucao,{"Unitário","Global"},0),IF($A48="S",ROUND($H48,ORÇAMENTO!$AF$10),""),ROUND($I48,ORÇAMENTO!$AF$11)),"")</f>
        <v/>
      </c>
      <c r="Y48" s="434">
        <f t="shared" ca="1" si="7"/>
        <v>0</v>
      </c>
      <c r="Z48" s="660"/>
      <c r="AB48" s="432"/>
      <c r="AC48" s="599"/>
      <c r="AD48" s="599"/>
      <c r="AE48" s="599"/>
      <c r="AF48" s="599"/>
      <c r="AG48" s="599"/>
      <c r="AH48" s="599"/>
      <c r="AI48" s="599"/>
      <c r="AJ48" s="599"/>
      <c r="AK48" s="599"/>
      <c r="AL48" s="599"/>
      <c r="AM48" s="433"/>
      <c r="AO48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x14ac:dyDescent="0.2">
      <c r="A49">
        <f ca="1">ORÇAMENTO!C49</f>
        <v>2</v>
      </c>
      <c r="B49">
        <f ca="1">ORÇAMENTO!D49</f>
        <v>9</v>
      </c>
      <c r="C49" s="144" t="str">
        <f t="shared" ca="1" si="1"/>
        <v>F</v>
      </c>
      <c r="D49" s="147" t="str">
        <f ca="1">ORÇAMENTO!O49</f>
        <v>1.8.</v>
      </c>
      <c r="E49" s="207" t="str">
        <f t="shared" si="2"/>
        <v xml:space="preserve">DRENAGEM </v>
      </c>
      <c r="F49" s="208" t="str">
        <f ca="1">IF(RegimeExecucao="Global","",ORÇAMENTO.Unidade)</f>
        <v>-</v>
      </c>
      <c r="G49" s="152">
        <f ca="1">IF(RegimeExecucao="Global","",ORÇAMENTO!T49)</f>
        <v>0</v>
      </c>
      <c r="H49" s="152">
        <f ca="1">IF(RegimeExecucao="Global","",ORÇAMENTO!W49)</f>
        <v>0</v>
      </c>
      <c r="I49" s="155">
        <f ca="1">ORÇAMENTO!X49</f>
        <v>0</v>
      </c>
      <c r="J49" s="428">
        <f ca="1">IF($A49="S",IF(CAIXA.Modo,BM.AFAnterior,BM.MEDAnterior),IF(AND(RegimeExecucao="Global",$I49&gt;0,COUNTIF($AB$13:$AM$13,BM.medicao-1)&gt;0),M49/$I49*100,0))</f>
        <v>0</v>
      </c>
      <c r="K49" s="152">
        <f t="shared" ca="1" si="3"/>
        <v>0</v>
      </c>
      <c r="L49" s="429">
        <f ca="1">IF($A49="S",IF(CAIXA.Modo,BM.AFAcumulado,BM.MEDAcumulado),IF(AND(RegimeExecucao="Global",$I49&gt;0,COUNTIF($AB$13:$AM$13,BM.medicao)&gt;0),O49/$I49*100,0))</f>
        <v>0</v>
      </c>
      <c r="M49" s="430">
        <f ca="1">IF($A49="S",VTOTALBM,IF($A49=0,0,ROUND(SomaAgrupBM,15-13*ORÇAMENTO!$AF$11)))</f>
        <v>0</v>
      </c>
      <c r="N49" s="431">
        <f t="shared" ca="1" si="4"/>
        <v>0</v>
      </c>
      <c r="O49" s="155">
        <f ca="1">IF($A49="S",VTOTALBM,IF($A49=0,0,ROUND(SomaAgrupBM,15-13*ORÇAMENTO!$AF$11)))</f>
        <v>0</v>
      </c>
      <c r="Q49" s="432"/>
      <c r="R49" s="433"/>
      <c r="T49" s="147" t="str">
        <f t="shared" ca="1" si="5"/>
        <v/>
      </c>
      <c r="U49" s="207" t="str">
        <f t="shared" ca="1" si="6"/>
        <v/>
      </c>
      <c r="V49" s="208" t="str">
        <f ca="1">IF(AND($W49&gt;0,RegimeExecucao="Unitário"),$F49,"")</f>
        <v/>
      </c>
      <c r="W49" s="633">
        <f ca="1">IF($Y49&gt;0,CHOOSE(MATCH(RegimeExecucao,{"Unitário","Global"},0),IF($A49="S",$Y49/$X49,""),($Y49/$X49)*100),0)</f>
        <v>0</v>
      </c>
      <c r="X49" s="434" t="str">
        <f ca="1">IF($Y49&gt;0,CHOOSE(MATCH(RegimeExecucao,{"Unitário","Global"},0),IF($A49="S",ROUND($H49,ORÇAMENTO!$AF$10),""),ROUND($I49,ORÇAMENTO!$AF$11)),"")</f>
        <v/>
      </c>
      <c r="Y49" s="434">
        <f t="shared" ca="1" si="7"/>
        <v>0</v>
      </c>
      <c r="Z49" s="660"/>
      <c r="AB49" s="432"/>
      <c r="AC49" s="599"/>
      <c r="AD49" s="599"/>
      <c r="AE49" s="599"/>
      <c r="AF49" s="599"/>
      <c r="AG49" s="599"/>
      <c r="AH49" s="599"/>
      <c r="AI49" s="599"/>
      <c r="AJ49" s="599"/>
      <c r="AK49" s="599"/>
      <c r="AL49" s="599"/>
      <c r="AM49" s="433"/>
      <c r="AO4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x14ac:dyDescent="0.2">
      <c r="A50" t="str">
        <f ca="1">ORÇAMENTO!C50</f>
        <v>S</v>
      </c>
      <c r="B50">
        <f ca="1">ORÇAMENTO!D50</f>
        <v>0</v>
      </c>
      <c r="C50" s="144" t="str">
        <f t="shared" ca="1" si="1"/>
        <v/>
      </c>
      <c r="D50" s="147" t="str">
        <f ca="1">ORÇAMENTO!O50</f>
        <v>-</v>
      </c>
      <c r="E50" s="207" t="str">
        <f t="shared" ca="1" si="2"/>
        <v>(abra o arquivo 'Referência 12-2023.xlsm)</v>
      </c>
      <c r="F50" s="208" t="str">
        <f ca="1">IF(RegimeExecucao="Global","",ORÇAMENTO.Unidade)</f>
        <v>-</v>
      </c>
      <c r="G50" s="152">
        <f ca="1">IF(RegimeExecucao="Global","",ORÇAMENTO!T50)</f>
        <v>1177.73</v>
      </c>
      <c r="H50" s="152">
        <f ca="1">IF(RegimeExecucao="Global","",ORÇAMENTO!W50)</f>
        <v>0</v>
      </c>
      <c r="I50" s="155">
        <f ca="1">ORÇAMENTO!X50</f>
        <v>0</v>
      </c>
      <c r="J50" s="428">
        <f ca="1">IF($A50="S",IF(CAIXA.Modo,BM.AFAnterior,BM.MEDAnterior),IF(AND(RegimeExecucao="Global",$I50&gt;0,COUNTIF($AB$13:$AM$13,BM.medicao-1)&gt;0),M50/$I50*100,0))</f>
        <v>0</v>
      </c>
      <c r="K50" s="152">
        <f t="shared" ca="1" si="3"/>
        <v>0</v>
      </c>
      <c r="L50" s="429">
        <f ca="1">IF($A50="S",IF(CAIXA.Modo,BM.AFAcumulado,BM.MEDAcumulado),IF(AND(RegimeExecucao="Global",$I50&gt;0,COUNTIF($AB$13:$AM$13,BM.medicao)&gt;0),O50/$I50*100,0))</f>
        <v>0</v>
      </c>
      <c r="M50" s="430">
        <f ca="1">IF($A50="S",VTOTALBM,IF($A50=0,0,ROUND(SomaAgrupBM,15-13*ORÇAMENTO!$AF$11)))</f>
        <v>0</v>
      </c>
      <c r="N50" s="431">
        <f t="shared" ca="1" si="4"/>
        <v>0</v>
      </c>
      <c r="O50" s="155">
        <f ca="1">IF($A50="S",VTOTALBM,IF($A50=0,0,ROUND(SomaAgrupBM,15-13*ORÇAMENTO!$AF$11)))</f>
        <v>0</v>
      </c>
      <c r="Q50" s="432"/>
      <c r="R50" s="433"/>
      <c r="T50" s="147" t="str">
        <f t="shared" ca="1" si="5"/>
        <v/>
      </c>
      <c r="U50" s="207" t="str">
        <f t="shared" ca="1" si="6"/>
        <v/>
      </c>
      <c r="V50" s="208" t="str">
        <f ca="1">IF(AND($W50&gt;0,RegimeExecucao="Unitário"),$F50,"")</f>
        <v/>
      </c>
      <c r="W50" s="633">
        <f ca="1">IF($Y50&gt;0,CHOOSE(MATCH(RegimeExecucao,{"Unitário","Global"},0),IF($A50="S",$Y50/$X50,""),($Y50/$X50)*100),0)</f>
        <v>0</v>
      </c>
      <c r="X50" s="434" t="str">
        <f ca="1">IF($Y50&gt;0,CHOOSE(MATCH(RegimeExecucao,{"Unitário","Global"},0),IF($A50="S",ROUND($H50,ORÇAMENTO!$AF$10),""),ROUND($I50,ORÇAMENTO!$AF$11)),"")</f>
        <v/>
      </c>
      <c r="Y50" s="434">
        <f t="shared" ca="1" si="7"/>
        <v>0</v>
      </c>
      <c r="Z50" s="660"/>
      <c r="AB50" s="432"/>
      <c r="AC50" s="599"/>
      <c r="AD50" s="599"/>
      <c r="AE50" s="599"/>
      <c r="AF50" s="599"/>
      <c r="AG50" s="599"/>
      <c r="AH50" s="599"/>
      <c r="AI50" s="599"/>
      <c r="AJ50" s="599"/>
      <c r="AK50" s="599"/>
      <c r="AL50" s="599"/>
      <c r="AM50" s="433"/>
      <c r="AO50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x14ac:dyDescent="0.2">
      <c r="A51" t="str">
        <f ca="1">ORÇAMENTO!C51</f>
        <v>S</v>
      </c>
      <c r="B51">
        <f ca="1">ORÇAMENTO!D51</f>
        <v>0</v>
      </c>
      <c r="C51" s="144" t="str">
        <f t="shared" ca="1" si="1"/>
        <v/>
      </c>
      <c r="D51" s="147" t="str">
        <f ca="1">ORÇAMENTO!O51</f>
        <v>-</v>
      </c>
      <c r="E51" s="207" t="str">
        <f t="shared" ca="1" si="2"/>
        <v>(abra o arquivo 'Referência 12-2023.xlsm)</v>
      </c>
      <c r="F51" s="208" t="str">
        <f ca="1">IF(RegimeExecucao="Global","",ORÇAMENTO.Unidade)</f>
        <v>-</v>
      </c>
      <c r="G51" s="152">
        <f ca="1">IF(RegimeExecucao="Global","",ORÇAMENTO!T51)</f>
        <v>785.15</v>
      </c>
      <c r="H51" s="152">
        <f ca="1">IF(RegimeExecucao="Global","",ORÇAMENTO!W51)</f>
        <v>0</v>
      </c>
      <c r="I51" s="155">
        <f ca="1">ORÇAMENTO!X51</f>
        <v>0</v>
      </c>
      <c r="J51" s="428">
        <f ca="1">IF($A51="S",IF(CAIXA.Modo,BM.AFAnterior,BM.MEDAnterior),IF(AND(RegimeExecucao="Global",$I51&gt;0,COUNTIF($AB$13:$AM$13,BM.medicao-1)&gt;0),M51/$I51*100,0))</f>
        <v>0</v>
      </c>
      <c r="K51" s="152">
        <f t="shared" ca="1" si="3"/>
        <v>0</v>
      </c>
      <c r="L51" s="429">
        <f ca="1">IF($A51="S",IF(CAIXA.Modo,BM.AFAcumulado,BM.MEDAcumulado),IF(AND(RegimeExecucao="Global",$I51&gt;0,COUNTIF($AB$13:$AM$13,BM.medicao)&gt;0),O51/$I51*100,0))</f>
        <v>0</v>
      </c>
      <c r="M51" s="430">
        <f ca="1">IF($A51="S",VTOTALBM,IF($A51=0,0,ROUND(SomaAgrupBM,15-13*ORÇAMENTO!$AF$11)))</f>
        <v>0</v>
      </c>
      <c r="N51" s="431">
        <f t="shared" ca="1" si="4"/>
        <v>0</v>
      </c>
      <c r="O51" s="155">
        <f ca="1">IF($A51="S",VTOTALBM,IF($A51=0,0,ROUND(SomaAgrupBM,15-13*ORÇAMENTO!$AF$11)))</f>
        <v>0</v>
      </c>
      <c r="Q51" s="432"/>
      <c r="R51" s="433"/>
      <c r="T51" s="147" t="str">
        <f t="shared" ca="1" si="5"/>
        <v/>
      </c>
      <c r="U51" s="207" t="str">
        <f t="shared" ca="1" si="6"/>
        <v/>
      </c>
      <c r="V51" s="208" t="str">
        <f ca="1">IF(AND($W51&gt;0,RegimeExecucao="Unitário"),$F51,"")</f>
        <v/>
      </c>
      <c r="W51" s="633">
        <f ca="1">IF($Y51&gt;0,CHOOSE(MATCH(RegimeExecucao,{"Unitário","Global"},0),IF($A51="S",$Y51/$X51,""),($Y51/$X51)*100),0)</f>
        <v>0</v>
      </c>
      <c r="X51" s="434" t="str">
        <f ca="1">IF($Y51&gt;0,CHOOSE(MATCH(RegimeExecucao,{"Unitário","Global"},0),IF($A51="S",ROUND($H51,ORÇAMENTO!$AF$10),""),ROUND($I51,ORÇAMENTO!$AF$11)),"")</f>
        <v/>
      </c>
      <c r="Y51" s="434">
        <f t="shared" ca="1" si="7"/>
        <v>0</v>
      </c>
      <c r="Z51" s="660"/>
      <c r="AB51" s="432"/>
      <c r="AC51" s="599"/>
      <c r="AD51" s="599"/>
      <c r="AE51" s="599"/>
      <c r="AF51" s="599"/>
      <c r="AG51" s="599"/>
      <c r="AH51" s="599"/>
      <c r="AI51" s="599"/>
      <c r="AJ51" s="599"/>
      <c r="AK51" s="599"/>
      <c r="AL51" s="599"/>
      <c r="AM51" s="433"/>
      <c r="AO51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x14ac:dyDescent="0.2">
      <c r="A52" t="str">
        <f ca="1">ORÇAMENTO!C52</f>
        <v>S</v>
      </c>
      <c r="B52">
        <f ca="1">ORÇAMENTO!D52</f>
        <v>0</v>
      </c>
      <c r="C52" s="144" t="str">
        <f t="shared" ca="1" si="1"/>
        <v/>
      </c>
      <c r="D52" s="147" t="str">
        <f ca="1">ORÇAMENTO!O52</f>
        <v>-</v>
      </c>
      <c r="E52" s="207" t="str">
        <f t="shared" ca="1" si="2"/>
        <v>(abra o arquivo 'Referência 12-2023.xlsm)</v>
      </c>
      <c r="F52" s="208" t="str">
        <f ca="1">IF(RegimeExecucao="Global","",ORÇAMENTO.Unidade)</f>
        <v>-</v>
      </c>
      <c r="G52" s="152">
        <f ca="1">IF(RegimeExecucao="Global","",ORÇAMENTO!T52)</f>
        <v>942.18</v>
      </c>
      <c r="H52" s="152">
        <f ca="1">IF(RegimeExecucao="Global","",ORÇAMENTO!W52)</f>
        <v>0</v>
      </c>
      <c r="I52" s="155">
        <f ca="1">ORÇAMENTO!X52</f>
        <v>0</v>
      </c>
      <c r="J52" s="428">
        <f ca="1">IF($A52="S",IF(CAIXA.Modo,BM.AFAnterior,BM.MEDAnterior),IF(AND(RegimeExecucao="Global",$I52&gt;0,COUNTIF($AB$13:$AM$13,BM.medicao-1)&gt;0),M52/$I52*100,0))</f>
        <v>0</v>
      </c>
      <c r="K52" s="152">
        <f t="shared" ca="1" si="3"/>
        <v>0</v>
      </c>
      <c r="L52" s="429">
        <f ca="1">IF($A52="S",IF(CAIXA.Modo,BM.AFAcumulado,BM.MEDAcumulado),IF(AND(RegimeExecucao="Global",$I52&gt;0,COUNTIF($AB$13:$AM$13,BM.medicao)&gt;0),O52/$I52*100,0))</f>
        <v>0</v>
      </c>
      <c r="M52" s="430">
        <f ca="1">IF($A52="S",VTOTALBM,IF($A52=0,0,ROUND(SomaAgrupBM,15-13*ORÇAMENTO!$AF$11)))</f>
        <v>0</v>
      </c>
      <c r="N52" s="431">
        <f t="shared" ca="1" si="4"/>
        <v>0</v>
      </c>
      <c r="O52" s="155">
        <f ca="1">IF($A52="S",VTOTALBM,IF($A52=0,0,ROUND(SomaAgrupBM,15-13*ORÇAMENTO!$AF$11)))</f>
        <v>0</v>
      </c>
      <c r="Q52" s="432"/>
      <c r="R52" s="433"/>
      <c r="T52" s="147" t="str">
        <f t="shared" ca="1" si="5"/>
        <v/>
      </c>
      <c r="U52" s="207" t="str">
        <f t="shared" ca="1" si="6"/>
        <v/>
      </c>
      <c r="V52" s="208" t="str">
        <f ca="1">IF(AND($W52&gt;0,RegimeExecucao="Unitário"),$F52,"")</f>
        <v/>
      </c>
      <c r="W52" s="633">
        <f ca="1">IF($Y52&gt;0,CHOOSE(MATCH(RegimeExecucao,{"Unitário","Global"},0),IF($A52="S",$Y52/$X52,""),($Y52/$X52)*100),0)</f>
        <v>0</v>
      </c>
      <c r="X52" s="434" t="str">
        <f ca="1">IF($Y52&gt;0,CHOOSE(MATCH(RegimeExecucao,{"Unitário","Global"},0),IF($A52="S",ROUND($H52,ORÇAMENTO!$AF$10),""),ROUND($I52,ORÇAMENTO!$AF$11)),"")</f>
        <v/>
      </c>
      <c r="Y52" s="434">
        <f t="shared" ca="1" si="7"/>
        <v>0</v>
      </c>
      <c r="Z52" s="660"/>
      <c r="AB52" s="432"/>
      <c r="AC52" s="599"/>
      <c r="AD52" s="599"/>
      <c r="AE52" s="599"/>
      <c r="AF52" s="599"/>
      <c r="AG52" s="599"/>
      <c r="AH52" s="599"/>
      <c r="AI52" s="599"/>
      <c r="AJ52" s="599"/>
      <c r="AK52" s="599"/>
      <c r="AL52" s="599"/>
      <c r="AM52" s="433"/>
      <c r="AO52">
        <f ca="1">IF($A52="S",IF(BM!$I52=0,0,CHOOSE(MATCH(RegimeExecucao,{"Global","Unitário"},0),ROUND(ROUND(BM.MEDAcumulado,15-13*BM!$A$9)/100*BM!$I52,15-13*ORÇAMENTO!$AF$11),ROUND(ROUND(BM.MEDAcumulado,15-13*BM!$A$9)*ROUND(BM!$H52,15-13*ORÇAMENTO!$AF$10),15-13*ORÇAMENTO!$AF$11))),IF($A52=0,0,ROUND(SomaAgrupBM,15-13*ORÇAMENTO!$AF$11)))</f>
        <v>0</v>
      </c>
    </row>
    <row r="53" spans="1:41" x14ac:dyDescent="0.2">
      <c r="A53" t="str">
        <f ca="1">ORÇAMENTO!C53</f>
        <v>S</v>
      </c>
      <c r="B53">
        <f ca="1">ORÇAMENTO!D53</f>
        <v>0</v>
      </c>
      <c r="C53" s="144" t="str">
        <f t="shared" ca="1" si="1"/>
        <v/>
      </c>
      <c r="D53" s="147" t="str">
        <f ca="1">ORÇAMENTO!O53</f>
        <v>-</v>
      </c>
      <c r="E53" s="207" t="str">
        <f t="shared" ca="1" si="2"/>
        <v>(abra o arquivo 'Referência 12-2023.xlsm)</v>
      </c>
      <c r="F53" s="208" t="str">
        <f ca="1">IF(RegimeExecucao="Global","",ORÇAMENTO.Unidade)</f>
        <v>-</v>
      </c>
      <c r="G53" s="152">
        <f ca="1">IF(RegimeExecucao="Global","",ORÇAMENTO!T53)</f>
        <v>989.29</v>
      </c>
      <c r="H53" s="152">
        <f ca="1">IF(RegimeExecucao="Global","",ORÇAMENTO!W53)</f>
        <v>0</v>
      </c>
      <c r="I53" s="155">
        <f ca="1">ORÇAMENTO!X53</f>
        <v>0</v>
      </c>
      <c r="J53" s="428">
        <f ca="1">IF($A53="S",IF(CAIXA.Modo,BM.AFAnterior,BM.MEDAnterior),IF(AND(RegimeExecucao="Global",$I53&gt;0,COUNTIF($AB$13:$AM$13,BM.medicao-1)&gt;0),M53/$I53*100,0))</f>
        <v>0</v>
      </c>
      <c r="K53" s="152">
        <f t="shared" ca="1" si="3"/>
        <v>0</v>
      </c>
      <c r="L53" s="429">
        <f ca="1">IF($A53="S",IF(CAIXA.Modo,BM.AFAcumulado,BM.MEDAcumulado),IF(AND(RegimeExecucao="Global",$I53&gt;0,COUNTIF($AB$13:$AM$13,BM.medicao)&gt;0),O53/$I53*100,0))</f>
        <v>0</v>
      </c>
      <c r="M53" s="430">
        <f ca="1">IF($A53="S",VTOTALBM,IF($A53=0,0,ROUND(SomaAgrupBM,15-13*ORÇAMENTO!$AF$11)))</f>
        <v>0</v>
      </c>
      <c r="N53" s="431">
        <f t="shared" ca="1" si="4"/>
        <v>0</v>
      </c>
      <c r="O53" s="155">
        <f ca="1">IF($A53="S",VTOTALBM,IF($A53=0,0,ROUND(SomaAgrupBM,15-13*ORÇAMENTO!$AF$11)))</f>
        <v>0</v>
      </c>
      <c r="Q53" s="432"/>
      <c r="R53" s="433"/>
      <c r="T53" s="147" t="str">
        <f t="shared" ca="1" si="5"/>
        <v/>
      </c>
      <c r="U53" s="207" t="str">
        <f t="shared" ca="1" si="6"/>
        <v/>
      </c>
      <c r="V53" s="208" t="str">
        <f ca="1">IF(AND($W53&gt;0,RegimeExecucao="Unitário"),$F53,"")</f>
        <v/>
      </c>
      <c r="W53" s="633">
        <f ca="1">IF($Y53&gt;0,CHOOSE(MATCH(RegimeExecucao,{"Unitário","Global"},0),IF($A53="S",$Y53/$X53,""),($Y53/$X53)*100),0)</f>
        <v>0</v>
      </c>
      <c r="X53" s="434" t="str">
        <f ca="1">IF($Y53&gt;0,CHOOSE(MATCH(RegimeExecucao,{"Unitário","Global"},0),IF($A53="S",ROUND($H53,ORÇAMENTO!$AF$10),""),ROUND($I53,ORÇAMENTO!$AF$11)),"")</f>
        <v/>
      </c>
      <c r="Y53" s="434">
        <f t="shared" ca="1" si="7"/>
        <v>0</v>
      </c>
      <c r="Z53" s="660"/>
      <c r="AB53" s="432"/>
      <c r="AC53" s="599"/>
      <c r="AD53" s="599"/>
      <c r="AE53" s="599"/>
      <c r="AF53" s="599"/>
      <c r="AG53" s="599"/>
      <c r="AH53" s="599"/>
      <c r="AI53" s="599"/>
      <c r="AJ53" s="599"/>
      <c r="AK53" s="599"/>
      <c r="AL53" s="599"/>
      <c r="AM53" s="433"/>
      <c r="AO53">
        <f ca="1">IF($A53="S",IF(BM!$I53=0,0,CHOOSE(MATCH(RegimeExecucao,{"Global","Unitário"},0),ROUND(ROUND(BM.MEDAcumulado,15-13*BM!$A$9)/100*BM!$I53,15-13*ORÇAMENTO!$AF$11),ROUND(ROUND(BM.MEDAcumulado,15-13*BM!$A$9)*ROUND(BM!$H53,15-13*ORÇAMENTO!$AF$10),15-13*ORÇAMENTO!$AF$11))),IF($A53=0,0,ROUND(SomaAgrupBM,15-13*ORÇAMENTO!$AF$11)))</f>
        <v>0</v>
      </c>
    </row>
    <row r="54" spans="1:41" x14ac:dyDescent="0.2">
      <c r="A54" t="str">
        <f ca="1">ORÇAMENTO!C54</f>
        <v>S</v>
      </c>
      <c r="B54">
        <f ca="1">ORÇAMENTO!D54</f>
        <v>0</v>
      </c>
      <c r="C54" s="144" t="str">
        <f t="shared" ca="1" si="1"/>
        <v/>
      </c>
      <c r="D54" s="147" t="str">
        <f ca="1">ORÇAMENTO!O54</f>
        <v>-</v>
      </c>
      <c r="E54" s="207" t="str">
        <f t="shared" ca="1" si="2"/>
        <v>(abra o arquivo 'Referência 12-2023.xlsm)</v>
      </c>
      <c r="F54" s="208" t="str">
        <f ca="1">IF(RegimeExecucao="Global","",ORÇAMENTO.Unidade)</f>
        <v>-</v>
      </c>
      <c r="G54" s="152">
        <f ca="1">IF(RegimeExecucao="Global","",ORÇAMENTO!T54)</f>
        <v>263.82</v>
      </c>
      <c r="H54" s="152">
        <f ca="1">IF(RegimeExecucao="Global","",ORÇAMENTO!W54)</f>
        <v>0</v>
      </c>
      <c r="I54" s="155">
        <f ca="1">ORÇAMENTO!X54</f>
        <v>0</v>
      </c>
      <c r="J54" s="428">
        <f ca="1">IF($A54="S",IF(CAIXA.Modo,BM.AFAnterior,BM.MEDAnterior),IF(AND(RegimeExecucao="Global",$I54&gt;0,COUNTIF($AB$13:$AM$13,BM.medicao-1)&gt;0),M54/$I54*100,0))</f>
        <v>0</v>
      </c>
      <c r="K54" s="152">
        <f t="shared" ca="1" si="3"/>
        <v>0</v>
      </c>
      <c r="L54" s="429">
        <f ca="1">IF($A54="S",IF(CAIXA.Modo,BM.AFAcumulado,BM.MEDAcumulado),IF(AND(RegimeExecucao="Global",$I54&gt;0,COUNTIF($AB$13:$AM$13,BM.medicao)&gt;0),O54/$I54*100,0))</f>
        <v>0</v>
      </c>
      <c r="M54" s="430">
        <f ca="1">IF($A54="S",VTOTALBM,IF($A54=0,0,ROUND(SomaAgrupBM,15-13*ORÇAMENTO!$AF$11)))</f>
        <v>0</v>
      </c>
      <c r="N54" s="431">
        <f t="shared" ca="1" si="4"/>
        <v>0</v>
      </c>
      <c r="O54" s="155">
        <f ca="1">IF($A54="S",VTOTALBM,IF($A54=0,0,ROUND(SomaAgrupBM,15-13*ORÇAMENTO!$AF$11)))</f>
        <v>0</v>
      </c>
      <c r="Q54" s="432"/>
      <c r="R54" s="433"/>
      <c r="T54" s="147" t="str">
        <f t="shared" ca="1" si="5"/>
        <v/>
      </c>
      <c r="U54" s="207" t="str">
        <f t="shared" ca="1" si="6"/>
        <v/>
      </c>
      <c r="V54" s="208" t="str">
        <f ca="1">IF(AND($W54&gt;0,RegimeExecucao="Unitário"),$F54,"")</f>
        <v/>
      </c>
      <c r="W54" s="633">
        <f ca="1">IF($Y54&gt;0,CHOOSE(MATCH(RegimeExecucao,{"Unitário","Global"},0),IF($A54="S",$Y54/$X54,""),($Y54/$X54)*100),0)</f>
        <v>0</v>
      </c>
      <c r="X54" s="434" t="str">
        <f ca="1">IF($Y54&gt;0,CHOOSE(MATCH(RegimeExecucao,{"Unitário","Global"},0),IF($A54="S",ROUND($H54,ORÇAMENTO!$AF$10),""),ROUND($I54,ORÇAMENTO!$AF$11)),"")</f>
        <v/>
      </c>
      <c r="Y54" s="434">
        <f t="shared" ca="1" si="7"/>
        <v>0</v>
      </c>
      <c r="Z54" s="660"/>
      <c r="AB54" s="432"/>
      <c r="AC54" s="599"/>
      <c r="AD54" s="599"/>
      <c r="AE54" s="599"/>
      <c r="AF54" s="599"/>
      <c r="AG54" s="599"/>
      <c r="AH54" s="599"/>
      <c r="AI54" s="599"/>
      <c r="AJ54" s="599"/>
      <c r="AK54" s="599"/>
      <c r="AL54" s="599"/>
      <c r="AM54" s="433"/>
      <c r="AO54">
        <f ca="1">IF($A54="S",IF(BM!$I54=0,0,CHOOSE(MATCH(RegimeExecucao,{"Global","Unitário"},0),ROUND(ROUND(BM.MEDAcumulado,15-13*BM!$A$9)/100*BM!$I54,15-13*ORÇAMENTO!$AF$11),ROUND(ROUND(BM.MEDAcumulado,15-13*BM!$A$9)*ROUND(BM!$H54,15-13*ORÇAMENTO!$AF$10),15-13*ORÇAMENTO!$AF$11))),IF($A54=0,0,ROUND(SomaAgrupBM,15-13*ORÇAMENTO!$AF$11)))</f>
        <v>0</v>
      </c>
    </row>
    <row r="55" spans="1:41" x14ac:dyDescent="0.2">
      <c r="A55" t="str">
        <f ca="1">ORÇAMENTO!C55</f>
        <v>S</v>
      </c>
      <c r="B55">
        <f ca="1">ORÇAMENTO!D55</f>
        <v>0</v>
      </c>
      <c r="C55" s="144" t="str">
        <f t="shared" ca="1" si="1"/>
        <v/>
      </c>
      <c r="D55" s="147" t="str">
        <f ca="1">ORÇAMENTO!O55</f>
        <v>-</v>
      </c>
      <c r="E55" s="207" t="str">
        <f t="shared" ca="1" si="2"/>
        <v>(abra o arquivo 'Referência 12-2023.xlsm)</v>
      </c>
      <c r="F55" s="208" t="str">
        <f ca="1">IF(RegimeExecucao="Global","",ORÇAMENTO.Unidade)</f>
        <v>-</v>
      </c>
      <c r="G55" s="152">
        <f ca="1">IF(RegimeExecucao="Global","",ORÇAMENTO!T55)</f>
        <v>314.06</v>
      </c>
      <c r="H55" s="152">
        <f ca="1">IF(RegimeExecucao="Global","",ORÇAMENTO!W55)</f>
        <v>0</v>
      </c>
      <c r="I55" s="155">
        <f ca="1">ORÇAMENTO!X55</f>
        <v>0</v>
      </c>
      <c r="J55" s="428">
        <f ca="1">IF($A55="S",IF(CAIXA.Modo,BM.AFAnterior,BM.MEDAnterior),IF(AND(RegimeExecucao="Global",$I55&gt;0,COUNTIF($AB$13:$AM$13,BM.medicao-1)&gt;0),M55/$I55*100,0))</f>
        <v>0</v>
      </c>
      <c r="K55" s="152">
        <f t="shared" ca="1" si="3"/>
        <v>0</v>
      </c>
      <c r="L55" s="429">
        <f ca="1">IF($A55="S",IF(CAIXA.Modo,BM.AFAcumulado,BM.MEDAcumulado),IF(AND(RegimeExecucao="Global",$I55&gt;0,COUNTIF($AB$13:$AM$13,BM.medicao)&gt;0),O55/$I55*100,0))</f>
        <v>0</v>
      </c>
      <c r="M55" s="430">
        <f ca="1">IF($A55="S",VTOTALBM,IF($A55=0,0,ROUND(SomaAgrupBM,15-13*ORÇAMENTO!$AF$11)))</f>
        <v>0</v>
      </c>
      <c r="N55" s="431">
        <f t="shared" ca="1" si="4"/>
        <v>0</v>
      </c>
      <c r="O55" s="155">
        <f ca="1">IF($A55="S",VTOTALBM,IF($A55=0,0,ROUND(SomaAgrupBM,15-13*ORÇAMENTO!$AF$11)))</f>
        <v>0</v>
      </c>
      <c r="Q55" s="432"/>
      <c r="R55" s="433"/>
      <c r="T55" s="147" t="str">
        <f t="shared" ca="1" si="5"/>
        <v/>
      </c>
      <c r="U55" s="207" t="str">
        <f t="shared" ca="1" si="6"/>
        <v/>
      </c>
      <c r="V55" s="208" t="str">
        <f ca="1">IF(AND($W55&gt;0,RegimeExecucao="Unitário"),$F55,"")</f>
        <v/>
      </c>
      <c r="W55" s="633">
        <f ca="1">IF($Y55&gt;0,CHOOSE(MATCH(RegimeExecucao,{"Unitário","Global"},0),IF($A55="S",$Y55/$X55,""),($Y55/$X55)*100),0)</f>
        <v>0</v>
      </c>
      <c r="X55" s="434" t="str">
        <f ca="1">IF($Y55&gt;0,CHOOSE(MATCH(RegimeExecucao,{"Unitário","Global"},0),IF($A55="S",ROUND($H55,ORÇAMENTO!$AF$10),""),ROUND($I55,ORÇAMENTO!$AF$11)),"")</f>
        <v/>
      </c>
      <c r="Y55" s="434">
        <f t="shared" ca="1" si="7"/>
        <v>0</v>
      </c>
      <c r="Z55" s="660"/>
      <c r="AB55" s="432"/>
      <c r="AC55" s="599"/>
      <c r="AD55" s="599"/>
      <c r="AE55" s="599"/>
      <c r="AF55" s="599"/>
      <c r="AG55" s="599"/>
      <c r="AH55" s="599"/>
      <c r="AI55" s="599"/>
      <c r="AJ55" s="599"/>
      <c r="AK55" s="599"/>
      <c r="AL55" s="599"/>
      <c r="AM55" s="433"/>
      <c r="AO55">
        <f ca="1">IF($A55="S",IF(BM!$I55=0,0,CHOOSE(MATCH(RegimeExecucao,{"Global","Unitário"},0),ROUND(ROUND(BM.MEDAcumulado,15-13*BM!$A$9)/100*BM!$I55,15-13*ORÇAMENTO!$AF$11),ROUND(ROUND(BM.MEDAcumulado,15-13*BM!$A$9)*ROUND(BM!$H55,15-13*ORÇAMENTO!$AF$10),15-13*ORÇAMENTO!$AF$11))),IF($A55=0,0,ROUND(SomaAgrupBM,15-13*ORÇAMENTO!$AF$11)))</f>
        <v>0</v>
      </c>
    </row>
    <row r="56" spans="1:41" x14ac:dyDescent="0.2">
      <c r="A56" t="str">
        <f ca="1">ORÇAMENTO!C56</f>
        <v>S</v>
      </c>
      <c r="B56">
        <f ca="1">ORÇAMENTO!D56</f>
        <v>0</v>
      </c>
      <c r="C56" s="144" t="str">
        <f t="shared" ca="1" si="1"/>
        <v/>
      </c>
      <c r="D56" s="147" t="str">
        <f ca="1">ORÇAMENTO!O56</f>
        <v>-</v>
      </c>
      <c r="E56" s="207" t="str">
        <f t="shared" ca="1" si="2"/>
        <v>(abra o arquivo 'Referência 12-2023.xlsm)</v>
      </c>
      <c r="F56" s="208" t="str">
        <f ca="1">IF(RegimeExecucao="Global","",ORÇAMENTO.Unidade)</f>
        <v>-</v>
      </c>
      <c r="G56" s="152">
        <f ca="1">IF(RegimeExecucao="Global","",ORÇAMENTO!T56)</f>
        <v>3</v>
      </c>
      <c r="H56" s="152">
        <f ca="1">IF(RegimeExecucao="Global","",ORÇAMENTO!W56)</f>
        <v>0</v>
      </c>
      <c r="I56" s="155">
        <f ca="1">ORÇAMENTO!X56</f>
        <v>0</v>
      </c>
      <c r="J56" s="428">
        <f ca="1">IF($A56="S",IF(CAIXA.Modo,BM.AFAnterior,BM.MEDAnterior),IF(AND(RegimeExecucao="Global",$I56&gt;0,COUNTIF($AB$13:$AM$13,BM.medicao-1)&gt;0),M56/$I56*100,0))</f>
        <v>0</v>
      </c>
      <c r="K56" s="152">
        <f t="shared" ca="1" si="3"/>
        <v>0</v>
      </c>
      <c r="L56" s="429">
        <f ca="1">IF($A56="S",IF(CAIXA.Modo,BM.AFAcumulado,BM.MEDAcumulado),IF(AND(RegimeExecucao="Global",$I56&gt;0,COUNTIF($AB$13:$AM$13,BM.medicao)&gt;0),O56/$I56*100,0))</f>
        <v>0</v>
      </c>
      <c r="M56" s="430">
        <f ca="1">IF($A56="S",VTOTALBM,IF($A56=0,0,ROUND(SomaAgrupBM,15-13*ORÇAMENTO!$AF$11)))</f>
        <v>0</v>
      </c>
      <c r="N56" s="431">
        <f t="shared" ca="1" si="4"/>
        <v>0</v>
      </c>
      <c r="O56" s="155">
        <f ca="1">IF($A56="S",VTOTALBM,IF($A56=0,0,ROUND(SomaAgrupBM,15-13*ORÇAMENTO!$AF$11)))</f>
        <v>0</v>
      </c>
      <c r="Q56" s="432"/>
      <c r="R56" s="433"/>
      <c r="T56" s="147" t="str">
        <f t="shared" ca="1" si="5"/>
        <v/>
      </c>
      <c r="U56" s="207" t="str">
        <f t="shared" ca="1" si="6"/>
        <v/>
      </c>
      <c r="V56" s="208" t="str">
        <f ca="1">IF(AND($W56&gt;0,RegimeExecucao="Unitário"),$F56,"")</f>
        <v/>
      </c>
      <c r="W56" s="633">
        <f ca="1">IF($Y56&gt;0,CHOOSE(MATCH(RegimeExecucao,{"Unitário","Global"},0),IF($A56="S",$Y56/$X56,""),($Y56/$X56)*100),0)</f>
        <v>0</v>
      </c>
      <c r="X56" s="434" t="str">
        <f ca="1">IF($Y56&gt;0,CHOOSE(MATCH(RegimeExecucao,{"Unitário","Global"},0),IF($A56="S",ROUND($H56,ORÇAMENTO!$AF$10),""),ROUND($I56,ORÇAMENTO!$AF$11)),"")</f>
        <v/>
      </c>
      <c r="Y56" s="434">
        <f t="shared" ca="1" si="7"/>
        <v>0</v>
      </c>
      <c r="Z56" s="660"/>
      <c r="AB56" s="432"/>
      <c r="AC56" s="599"/>
      <c r="AD56" s="599"/>
      <c r="AE56" s="599"/>
      <c r="AF56" s="599"/>
      <c r="AG56" s="599"/>
      <c r="AH56" s="599"/>
      <c r="AI56" s="599"/>
      <c r="AJ56" s="599"/>
      <c r="AK56" s="599"/>
      <c r="AL56" s="599"/>
      <c r="AM56" s="433"/>
      <c r="AO56">
        <f ca="1">IF($A56="S",IF(BM!$I56=0,0,CHOOSE(MATCH(RegimeExecucao,{"Global","Unitário"},0),ROUND(ROUND(BM.MEDAcumulado,15-13*BM!$A$9)/100*BM!$I56,15-13*ORÇAMENTO!$AF$11),ROUND(ROUND(BM.MEDAcumulado,15-13*BM!$A$9)*ROUND(BM!$H56,15-13*ORÇAMENTO!$AF$10),15-13*ORÇAMENTO!$AF$11))),IF($A56=0,0,ROUND(SomaAgrupBM,15-13*ORÇAMENTO!$AF$11)))</f>
        <v>0</v>
      </c>
    </row>
    <row r="57" spans="1:41" x14ac:dyDescent="0.2">
      <c r="A57" t="str">
        <f ca="1">ORÇAMENTO!C57</f>
        <v>S</v>
      </c>
      <c r="B57">
        <f ca="1">ORÇAMENTO!D57</f>
        <v>0</v>
      </c>
      <c r="C57" s="144" t="str">
        <f ca="1">IF(OR($I57&gt;0,$A57=1,$A57=2,$A57=3,$A57=4),"F","")</f>
        <v/>
      </c>
      <c r="D57" s="147" t="str">
        <f ca="1">ORÇAMENTO!O57</f>
        <v>-</v>
      </c>
      <c r="E57" s="207" t="str">
        <f ca="1">ORÇAMENTO.Descricao</f>
        <v>(abra o arquivo 'Referência 12-2023.xlsm)</v>
      </c>
      <c r="F57" s="208" t="str">
        <f ca="1">IF(RegimeExecucao="Global","",ORÇAMENTO.Unidade)</f>
        <v>-</v>
      </c>
      <c r="G57" s="152">
        <f ca="1">IF(RegimeExecucao="Global","",ORÇAMENTO!T57)</f>
        <v>3</v>
      </c>
      <c r="H57" s="152">
        <f ca="1">IF(RegimeExecucao="Global","",ORÇAMENTO!W57)</f>
        <v>0</v>
      </c>
      <c r="I57" s="155">
        <f ca="1">ORÇAMENTO!X57</f>
        <v>0</v>
      </c>
      <c r="J57" s="428">
        <f ca="1">IF($A57="S",IF(CAIXA.Modo,BM.AFAnterior,BM.MEDAnterior),IF(AND(RegimeExecucao="Global",$I57&gt;0,COUNTIF($AB$13:$AM$13,BM.medicao-1)&gt;0),M57/$I57*100,0))</f>
        <v>0</v>
      </c>
      <c r="K57" s="152">
        <f ca="1">L57-J57</f>
        <v>0</v>
      </c>
      <c r="L57" s="429">
        <f ca="1">IF($A57="S",IF(CAIXA.Modo,BM.AFAcumulado,BM.MEDAcumulado),IF(AND(RegimeExecucao="Global",$I57&gt;0,COUNTIF($AB$13:$AM$13,BM.medicao)&gt;0),O57/$I57*100,0))</f>
        <v>0</v>
      </c>
      <c r="M57" s="430">
        <f ca="1">IF($A57="S",VTOTALBM,IF($A57=0,0,ROUND(SomaAgrupBM,15-13*ORÇAMENTO!$AF$11)))</f>
        <v>0</v>
      </c>
      <c r="N57" s="431">
        <f ca="1">O57-M57</f>
        <v>0</v>
      </c>
      <c r="O57" s="155">
        <f ca="1">IF($A57="S",VTOTALBM,IF($A57=0,0,ROUND(SomaAgrupBM,15-13*ORÇAMENTO!$AF$11)))</f>
        <v>0</v>
      </c>
      <c r="Q57" s="432"/>
      <c r="R57" s="433"/>
      <c r="T57" s="147" t="str">
        <f ca="1">IF($W57&gt;0,$D57,"")</f>
        <v/>
      </c>
      <c r="U57" s="207" t="str">
        <f ca="1">IF($W57&gt;0,$E57,"")</f>
        <v/>
      </c>
      <c r="V57" s="208" t="str">
        <f ca="1">IF(AND($W57&gt;0,RegimeExecucao="Unitário"),$F57,"")</f>
        <v/>
      </c>
      <c r="W57" s="633">
        <f ca="1">IF($Y57&gt;0,CHOOSE(MATCH(RegimeExecucao,{"Unitário","Global"},0),IF($A57="S",$Y57/$X57,""),($Y57/$X57)*100),0)</f>
        <v>0</v>
      </c>
      <c r="X57" s="434" t="str">
        <f ca="1">IF($Y57&gt;0,CHOOSE(MATCH(RegimeExecucao,{"Unitário","Global"},0),IF($A57="S",ROUND($H57,ORÇAMENTO!$AF$10),""),ROUND($I57,ORÇAMENTO!$AF$11)),"")</f>
        <v/>
      </c>
      <c r="Y57" s="434">
        <f ca="1">AO57-O57</f>
        <v>0</v>
      </c>
      <c r="Z57" s="660"/>
      <c r="AB57" s="432"/>
      <c r="AC57" s="599"/>
      <c r="AD57" s="599"/>
      <c r="AE57" s="599"/>
      <c r="AF57" s="599"/>
      <c r="AG57" s="599"/>
      <c r="AH57" s="599"/>
      <c r="AI57" s="599"/>
      <c r="AJ57" s="599"/>
      <c r="AK57" s="599"/>
      <c r="AL57" s="599"/>
      <c r="AM57" s="433"/>
      <c r="AO57">
        <f ca="1">IF($A57="S",IF(BM!$I57=0,0,CHOOSE(MATCH(RegimeExecucao,{"Global","Unitário"},0),ROUND(ROUND(BM.MEDAcumulado,15-13*BM!$A$9)/100*BM!$I57,15-13*ORÇAMENTO!$AF$11),ROUND(ROUND(BM.MEDAcumulado,15-13*BM!$A$9)*ROUND(BM!$H57,15-13*ORÇAMENTO!$AF$10),15-13*ORÇAMENTO!$AF$11))),IF($A57=0,0,ROUND(SomaAgrupBM,15-13*ORÇAMENTO!$AF$11)))</f>
        <v>0</v>
      </c>
    </row>
    <row r="58" spans="1:41" ht="5.0999999999999996" customHeight="1" x14ac:dyDescent="0.2">
      <c r="C58" s="144" t="s">
        <v>246</v>
      </c>
      <c r="D58" s="567"/>
      <c r="E58" s="564"/>
      <c r="F58" s="564"/>
      <c r="G58" s="564"/>
      <c r="H58" s="564"/>
      <c r="I58" s="565"/>
      <c r="J58" s="567"/>
      <c r="K58" s="564"/>
      <c r="L58" s="565"/>
      <c r="M58" s="596"/>
      <c r="N58" s="597"/>
      <c r="O58" s="598"/>
      <c r="Q58" s="567"/>
      <c r="R58" s="565"/>
      <c r="T58" s="567"/>
      <c r="U58" s="564"/>
      <c r="V58" s="564"/>
      <c r="W58" s="564"/>
      <c r="X58" s="564"/>
      <c r="Y58" s="564"/>
      <c r="Z58" s="565"/>
      <c r="AB58" s="567"/>
      <c r="AC58" s="564"/>
      <c r="AD58" s="564"/>
      <c r="AE58" s="564"/>
      <c r="AF58" s="564"/>
      <c r="AG58" s="564"/>
      <c r="AH58" s="564"/>
      <c r="AI58" s="564"/>
      <c r="AJ58" s="564"/>
      <c r="AK58" s="564"/>
      <c r="AL58" s="564"/>
      <c r="AM58" s="565"/>
    </row>
    <row r="59" spans="1:41" x14ac:dyDescent="0.2"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</row>
    <row r="60" spans="1:41" ht="14.25" x14ac:dyDescent="0.2">
      <c r="C60" s="105"/>
      <c r="D60" s="775" t="s">
        <v>187</v>
      </c>
      <c r="E60" s="775"/>
      <c r="F60" s="775"/>
      <c r="G60" s="775"/>
      <c r="H60" s="775"/>
      <c r="I60" s="775"/>
      <c r="J60" s="775"/>
      <c r="K60" s="775"/>
      <c r="L60" s="775"/>
      <c r="M60" s="775"/>
      <c r="N60" s="775"/>
      <c r="O60" s="775"/>
      <c r="T60" s="776" t="s">
        <v>353</v>
      </c>
      <c r="U60" s="776"/>
      <c r="V60" s="776"/>
      <c r="W60" s="776"/>
      <c r="X60" s="776"/>
      <c r="Y60" s="776"/>
      <c r="Z60" s="776"/>
    </row>
    <row r="61" spans="1:41" ht="12.75" customHeight="1" x14ac:dyDescent="0.2">
      <c r="C61" s="105"/>
      <c r="D61" s="714"/>
      <c r="E61" s="714"/>
      <c r="F61" s="714"/>
      <c r="G61" s="714"/>
      <c r="H61" s="714"/>
      <c r="I61" s="714"/>
      <c r="J61" s="714"/>
      <c r="K61" s="714"/>
      <c r="L61" s="714"/>
      <c r="M61" s="714"/>
      <c r="N61" s="714"/>
      <c r="O61" s="714"/>
      <c r="T61" s="777"/>
      <c r="U61" s="777"/>
      <c r="V61" s="777"/>
      <c r="W61" s="777"/>
      <c r="X61" s="777"/>
      <c r="Y61" s="777"/>
      <c r="Z61" s="777"/>
    </row>
    <row r="62" spans="1:41" ht="12.75" customHeight="1" x14ac:dyDescent="0.2">
      <c r="C62" s="105"/>
      <c r="D62" s="714"/>
      <c r="E62" s="714"/>
      <c r="F62" s="714"/>
      <c r="G62" s="714"/>
      <c r="H62" s="714"/>
      <c r="I62" s="714"/>
      <c r="J62" s="714"/>
      <c r="K62" s="714"/>
      <c r="L62" s="714"/>
      <c r="M62" s="714"/>
      <c r="N62" s="714"/>
      <c r="O62" s="714"/>
      <c r="T62" s="777"/>
      <c r="U62" s="777"/>
      <c r="V62" s="777"/>
      <c r="W62" s="777"/>
      <c r="X62" s="777"/>
      <c r="Y62" s="777"/>
      <c r="Z62" s="777"/>
    </row>
    <row r="63" spans="1:41" ht="12.75" customHeight="1" x14ac:dyDescent="0.2">
      <c r="C63" s="105"/>
      <c r="D63" s="714"/>
      <c r="E63" s="714"/>
      <c r="F63" s="714"/>
      <c r="G63" s="714"/>
      <c r="H63" s="714"/>
      <c r="I63" s="714"/>
      <c r="J63" s="714"/>
      <c r="K63" s="714"/>
      <c r="L63" s="714"/>
      <c r="M63" s="714"/>
      <c r="N63" s="714"/>
      <c r="O63" s="714"/>
      <c r="T63" s="777"/>
      <c r="U63" s="777"/>
      <c r="V63" s="777"/>
      <c r="W63" s="777"/>
      <c r="X63" s="777"/>
      <c r="Y63" s="777"/>
      <c r="Z63" s="777"/>
    </row>
    <row r="64" spans="1:41" ht="14.25" x14ac:dyDescent="0.2">
      <c r="C64" s="105"/>
      <c r="D64" s="619"/>
      <c r="E64" s="619"/>
      <c r="F64" s="619"/>
      <c r="G64" s="619"/>
      <c r="H64" s="619"/>
      <c r="I64" s="619"/>
      <c r="J64" s="619"/>
      <c r="K64" s="619"/>
      <c r="L64" s="619"/>
      <c r="M64" s="619"/>
      <c r="N64" s="619"/>
      <c r="O64" s="619"/>
    </row>
    <row r="65" spans="3:26" ht="15" customHeight="1" x14ac:dyDescent="0.25">
      <c r="C65" s="105"/>
      <c r="D65" s="715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Quantidade; Preço unitário; Preço total; Medição.</v>
      </c>
      <c r="E65" s="715"/>
      <c r="F65" s="715"/>
      <c r="G65" s="715"/>
      <c r="H65" s="715"/>
      <c r="I65" s="715"/>
      <c r="J65" s="715"/>
      <c r="K65" s="715"/>
      <c r="L65" s="715"/>
    </row>
    <row r="66" spans="3:26" x14ac:dyDescent="0.2">
      <c r="C66" s="105"/>
      <c r="D66" s="773"/>
      <c r="E66" s="773"/>
      <c r="F66" s="773"/>
      <c r="G66" s="773"/>
      <c r="H66" s="773"/>
      <c r="I66" s="773"/>
    </row>
    <row r="67" spans="3:26" x14ac:dyDescent="0.2">
      <c r="C67" s="105"/>
      <c r="D67" s="771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67" s="771"/>
      <c r="F67" s="771"/>
      <c r="G67" s="771"/>
      <c r="H67" s="771"/>
      <c r="I67" s="771"/>
      <c r="J67" s="771"/>
      <c r="K67" s="771"/>
      <c r="L67" s="771"/>
      <c r="M67" s="771"/>
      <c r="N67" s="771"/>
      <c r="O67" s="771"/>
    </row>
    <row r="68" spans="3:26" ht="39.950000000000003" customHeight="1" x14ac:dyDescent="0.2">
      <c r="C68" s="105"/>
      <c r="E68" s="175" t="str">
        <f>Import.Município</f>
        <v xml:space="preserve">SÃO FRANCISCO </v>
      </c>
      <c r="J68" s="772"/>
      <c r="K68" s="772"/>
      <c r="L68" s="772"/>
      <c r="M68" s="772"/>
      <c r="N68" s="105"/>
      <c r="O68" s="105"/>
      <c r="W68" s="772"/>
      <c r="X68" s="772"/>
      <c r="Y68" s="772"/>
      <c r="Z68" s="772"/>
    </row>
    <row r="69" spans="3:26" x14ac:dyDescent="0.2">
      <c r="C69" s="105"/>
      <c r="E69" s="12" t="s">
        <v>188</v>
      </c>
      <c r="J69" s="230" t="s">
        <v>302</v>
      </c>
      <c r="K69" s="105"/>
      <c r="L69" s="105"/>
      <c r="M69" s="105"/>
      <c r="N69" s="105"/>
      <c r="O69" s="105"/>
      <c r="W69" s="230" t="s">
        <v>354</v>
      </c>
      <c r="X69" s="105"/>
      <c r="Y69" s="105"/>
      <c r="Z69" s="105"/>
    </row>
    <row r="70" spans="3:26" x14ac:dyDescent="0.2">
      <c r="C70" s="105"/>
      <c r="E70" s="105"/>
      <c r="J70" s="95" t="s">
        <v>108</v>
      </c>
      <c r="K70" s="354">
        <f t="array" ref="K70:K73">Import.RespFiscalização</f>
        <v>0</v>
      </c>
      <c r="L70" s="96"/>
      <c r="M70" s="105"/>
      <c r="N70" s="105"/>
      <c r="O70" s="105"/>
      <c r="W70" s="95" t="s">
        <v>108</v>
      </c>
      <c r="X70" s="770"/>
      <c r="Y70" s="770"/>
      <c r="Z70" s="770"/>
    </row>
    <row r="71" spans="3:26" x14ac:dyDescent="0.2">
      <c r="C71" s="105"/>
      <c r="E71" s="638">
        <f ca="1">DADOS!$F$48</f>
        <v>45737</v>
      </c>
      <c r="J71" s="95" t="s">
        <v>127</v>
      </c>
      <c r="K71" s="354">
        <v>0</v>
      </c>
      <c r="L71" s="96"/>
      <c r="M71" s="105"/>
      <c r="N71" s="105"/>
      <c r="O71" s="105"/>
      <c r="W71" s="95" t="s">
        <v>355</v>
      </c>
      <c r="X71" s="770"/>
      <c r="Y71" s="770"/>
      <c r="Z71" s="770"/>
    </row>
    <row r="72" spans="3:26" x14ac:dyDescent="0.2">
      <c r="C72" s="105"/>
      <c r="E72" s="178" t="s">
        <v>189</v>
      </c>
      <c r="J72" s="95" t="s">
        <v>109</v>
      </c>
      <c r="K72" s="354">
        <v>0</v>
      </c>
      <c r="L72" s="96"/>
      <c r="M72" s="105"/>
      <c r="N72" s="105"/>
      <c r="O72" s="105"/>
      <c r="W72" s="95" t="s">
        <v>109</v>
      </c>
      <c r="X72" s="770"/>
      <c r="Y72" s="770"/>
      <c r="Z72" s="770"/>
    </row>
    <row r="73" spans="3:26" x14ac:dyDescent="0.2">
      <c r="J73" s="95" t="s">
        <v>110</v>
      </c>
      <c r="K73" s="355">
        <v>0</v>
      </c>
      <c r="W73" s="95"/>
      <c r="X73" s="355"/>
    </row>
  </sheetData>
  <sheetProtection password="BD1F" sheet="1" objects="1" scenarios="1" autoFilter="0"/>
  <autoFilter ref="C15:C58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65:L65"/>
    <mergeCell ref="D66:I66"/>
    <mergeCell ref="AB15:AM15"/>
    <mergeCell ref="D60:O60"/>
    <mergeCell ref="T60:Z60"/>
    <mergeCell ref="D61:O63"/>
    <mergeCell ref="T61:Z63"/>
    <mergeCell ref="D15:E15"/>
    <mergeCell ref="X72:Z72"/>
    <mergeCell ref="D67:O67"/>
    <mergeCell ref="J68:M68"/>
    <mergeCell ref="W68:Z68"/>
    <mergeCell ref="X70:Z70"/>
    <mergeCell ref="X71:Z71"/>
  </mergeCells>
  <phoneticPr fontId="38" type="noConversion"/>
  <conditionalFormatting sqref="D14:O14 T14:Z14 D45:O56 T45:Z56">
    <cfRule type="expression" dxfId="43" priority="2448" stopIfTrue="1">
      <formula>OR(ACOMPANHAMENTO="PLE",TIPOORCAMENTO="Proposto",$L14&lt;0,AND($L14&gt;100,RegimeExecucao="Global"),$O14&gt;$I14,$O14&lt;0)</formula>
    </cfRule>
    <cfRule type="expression" dxfId="42" priority="2449" stopIfTrue="1">
      <formula>$A14=1</formula>
    </cfRule>
    <cfRule type="expression" dxfId="41" priority="2450" stopIfTrue="1">
      <formula>$A14&lt;&gt;"S"</formula>
    </cfRule>
  </conditionalFormatting>
  <conditionalFormatting sqref="Q14:R14 AB14:AM14 Q45:R56 AB45:AM56">
    <cfRule type="expression" dxfId="40" priority="2451" stopIfTrue="1">
      <formula>$A14=1</formula>
    </cfRule>
    <cfRule type="expression" dxfId="39" priority="2452" stopIfTrue="1">
      <formula>$A14&lt;&gt;"S"</formula>
    </cfRule>
  </conditionalFormatting>
  <conditionalFormatting sqref="E2">
    <cfRule type="expression" dxfId="38" priority="2453" stopIfTrue="1">
      <formula>Import.RegimeExecução="(SELECIONAR)"</formula>
    </cfRule>
  </conditionalFormatting>
  <conditionalFormatting sqref="F13:H13">
    <cfRule type="expression" dxfId="37" priority="2454" stopIfTrue="1">
      <formula>RegimeExecucao="Global"</formula>
    </cfRule>
  </conditionalFormatting>
  <conditionalFormatting sqref="D15:O15">
    <cfRule type="expression" dxfId="36" priority="2455" stopIfTrue="1">
      <formula>OR(ACOMPANHAMENTO="PLE",TIPOORCAMENTO="Proposto")</formula>
    </cfRule>
  </conditionalFormatting>
  <conditionalFormatting sqref="AB13">
    <cfRule type="cellIs" dxfId="35" priority="2456" stopIfTrue="1" operator="notEqual">
      <formula>1</formula>
    </cfRule>
  </conditionalFormatting>
  <conditionalFormatting sqref="D16:O24 T16:Z24">
    <cfRule type="expression" dxfId="34" priority="156" stopIfTrue="1">
      <formula>OR(ACOMPANHAMENTO="PLE",TIPOORCAMENTO="Proposto",$L16&lt;0,AND($L16&gt;100,RegimeExecucao="Global"),$O16&gt;$I16,$O16&lt;0)</formula>
    </cfRule>
    <cfRule type="expression" dxfId="33" priority="157" stopIfTrue="1">
      <formula>$A16=1</formula>
    </cfRule>
    <cfRule type="expression" dxfId="32" priority="158" stopIfTrue="1">
      <formula>$A16&lt;&gt;"S"</formula>
    </cfRule>
  </conditionalFormatting>
  <conditionalFormatting sqref="Q16:R24 AB16:AM24">
    <cfRule type="expression" dxfId="31" priority="159" stopIfTrue="1">
      <formula>$A16=1</formula>
    </cfRule>
    <cfRule type="expression" dxfId="30" priority="160" stopIfTrue="1">
      <formula>$A16&lt;&gt;"S"</formula>
    </cfRule>
  </conditionalFormatting>
  <conditionalFormatting sqref="D25:O26 T25:Z26 T30:Z35 D30:O35 T28:Z28 D28:O28">
    <cfRule type="expression" dxfId="29" priority="151" stopIfTrue="1">
      <formula>OR(ACOMPANHAMENTO="PLE",TIPOORCAMENTO="Proposto",$L25&lt;0,AND($L25&gt;100,RegimeExecucao="Global"),$O25&gt;$I25,$O25&lt;0)</formula>
    </cfRule>
    <cfRule type="expression" dxfId="28" priority="152" stopIfTrue="1">
      <formula>$A25=1</formula>
    </cfRule>
    <cfRule type="expression" dxfId="27" priority="153" stopIfTrue="1">
      <formula>$A25&lt;&gt;"S"</formula>
    </cfRule>
  </conditionalFormatting>
  <conditionalFormatting sqref="Q25:R26 AB25:AM26 AB30:AM35 Q30:R35 AB28:AM28 Q28:R28">
    <cfRule type="expression" dxfId="26" priority="154" stopIfTrue="1">
      <formula>$A25=1</formula>
    </cfRule>
    <cfRule type="expression" dxfId="25" priority="155" stopIfTrue="1">
      <formula>$A25&lt;&gt;"S"</formula>
    </cfRule>
  </conditionalFormatting>
  <conditionalFormatting sqref="D36:O44 T36:Z44">
    <cfRule type="expression" dxfId="24" priority="146" stopIfTrue="1">
      <formula>OR(ACOMPANHAMENTO="PLE",TIPOORCAMENTO="Proposto",$L36&lt;0,AND($L36&gt;100,RegimeExecucao="Global"),$O36&gt;$I36,$O36&lt;0)</formula>
    </cfRule>
    <cfRule type="expression" dxfId="23" priority="147" stopIfTrue="1">
      <formula>$A36=1</formula>
    </cfRule>
    <cfRule type="expression" dxfId="22" priority="148" stopIfTrue="1">
      <formula>$A36&lt;&gt;"S"</formula>
    </cfRule>
  </conditionalFormatting>
  <conditionalFormatting sqref="Q36:R44 AB36:AM44">
    <cfRule type="expression" dxfId="21" priority="149" stopIfTrue="1">
      <formula>$A36=1</formula>
    </cfRule>
    <cfRule type="expression" dxfId="20" priority="150" stopIfTrue="1">
      <formula>$A36&lt;&gt;"S"</formula>
    </cfRule>
  </conditionalFormatting>
  <conditionalFormatting sqref="D29:O29 T29:Z29">
    <cfRule type="expression" dxfId="19" priority="16" stopIfTrue="1">
      <formula>OR(ACOMPANHAMENTO="PLE",TIPOORCAMENTO="Proposto",$L29&lt;0,AND($L29&gt;100,RegimeExecucao="Global"),$O29&gt;$I29,$O29&lt;0)</formula>
    </cfRule>
    <cfRule type="expression" dxfId="18" priority="17" stopIfTrue="1">
      <formula>$A29=1</formula>
    </cfRule>
    <cfRule type="expression" dxfId="17" priority="18" stopIfTrue="1">
      <formula>$A29&lt;&gt;"S"</formula>
    </cfRule>
  </conditionalFormatting>
  <conditionalFormatting sqref="Q29:R29 AB29:AM29">
    <cfRule type="expression" dxfId="16" priority="19" stopIfTrue="1">
      <formula>$A29=1</formula>
    </cfRule>
    <cfRule type="expression" dxfId="15" priority="20" stopIfTrue="1">
      <formula>$A29&lt;&gt;"S"</formula>
    </cfRule>
  </conditionalFormatting>
  <conditionalFormatting sqref="D27:O27 T27:Z27">
    <cfRule type="expression" dxfId="14" priority="11" stopIfTrue="1">
      <formula>OR(ACOMPANHAMENTO="PLE",TIPOORCAMENTO="Proposto",$L27&lt;0,AND($L27&gt;100,RegimeExecucao="Global"),$O27&gt;$I27,$O27&lt;0)</formula>
    </cfRule>
    <cfRule type="expression" dxfId="13" priority="12" stopIfTrue="1">
      <formula>$A27=1</formula>
    </cfRule>
    <cfRule type="expression" dxfId="12" priority="13" stopIfTrue="1">
      <formula>$A27&lt;&gt;"S"</formula>
    </cfRule>
  </conditionalFormatting>
  <conditionalFormatting sqref="Q27:R27 AB27:AM27">
    <cfRule type="expression" dxfId="11" priority="14" stopIfTrue="1">
      <formula>$A27=1</formula>
    </cfRule>
    <cfRule type="expression" dxfId="10" priority="15" stopIfTrue="1">
      <formula>$A27&lt;&gt;"S"</formula>
    </cfRule>
  </conditionalFormatting>
  <conditionalFormatting sqref="D57:O57 T57:Z57">
    <cfRule type="expression" dxfId="9" priority="1" stopIfTrue="1">
      <formula>OR(ACOMPANHAMENTO="PLE",TIPOORCAMENTO="Proposto",$L57&lt;0,AND($L57&gt;100,RegimeExecucao="Global"),$O57&gt;$I57,$O57&lt;0)</formula>
    </cfRule>
    <cfRule type="expression" dxfId="8" priority="2" stopIfTrue="1">
      <formula>$A57=1</formula>
    </cfRule>
    <cfRule type="expression" dxfId="7" priority="3" stopIfTrue="1">
      <formula>$A57&lt;&gt;"S"</formula>
    </cfRule>
  </conditionalFormatting>
  <conditionalFormatting sqref="Q57:R57 AB57:AM57">
    <cfRule type="expression" dxfId="6" priority="4" stopIfTrue="1">
      <formula>$A57=1</formula>
    </cfRule>
    <cfRule type="expression" dxfId="5" priority="5" stopIfTrue="1">
      <formula>$A57&lt;&gt;"S"</formula>
    </cfRule>
  </conditionalFormatting>
  <dataValidations count="4">
    <dataValidation type="list" allowBlank="1" showErrorMessage="1" sqref="Z14 Z16:Z57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57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57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523875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3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A23" sqref="A2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441" t="str">
        <f>CONCATENATE("RRE - RELATÓRIO RESUMO DO EMPREENDIMENTO - ",IF(CAIXA.Modo,"CAIXA","TOMADOR"))</f>
        <v>RRE - RELATÓRIO RESUMO DO EMPREENDIMENTO - TOMADOR</v>
      </c>
      <c r="H1" s="10"/>
      <c r="I1" s="10"/>
      <c r="AC1" s="19"/>
      <c r="AD1" s="442" t="s">
        <v>356</v>
      </c>
      <c r="AE1" s="443" t="s">
        <v>357</v>
      </c>
    </row>
    <row r="2" spans="1:41" x14ac:dyDescent="0.2">
      <c r="AC2" s="444" t="str">
        <f>J16</f>
        <v>Repasse</v>
      </c>
      <c r="AD2" s="445">
        <f ca="1">AD6-AD4-AD3</f>
        <v>0</v>
      </c>
      <c r="AE2" s="445">
        <f ca="1">AE6-AE4-AE3</f>
        <v>0</v>
      </c>
    </row>
    <row r="3" spans="1:41" x14ac:dyDescent="0.2">
      <c r="E3" s="705" t="s">
        <v>147</v>
      </c>
      <c r="F3" s="705"/>
      <c r="G3" s="705"/>
      <c r="H3" s="705"/>
      <c r="I3" s="694" t="s">
        <v>146</v>
      </c>
      <c r="J3" s="694"/>
      <c r="K3" s="694"/>
      <c r="L3" s="112" t="s">
        <v>443</v>
      </c>
      <c r="M3" s="185"/>
      <c r="N3" s="446"/>
      <c r="O3" s="447"/>
      <c r="P3" s="359" t="s">
        <v>210</v>
      </c>
      <c r="R3" s="185"/>
      <c r="S3" s="185"/>
      <c r="T3" s="185"/>
      <c r="U3" s="185"/>
      <c r="AC3" s="444" t="s">
        <v>169</v>
      </c>
      <c r="AD3" s="445">
        <f ca="1">SUM(T13:OFFSET(T15,-1,0))</f>
        <v>0</v>
      </c>
      <c r="AE3" s="445">
        <f ca="1">IF(OR($O$19&lt;$M$19,$M$17&gt;$AD$3),MIN($M$17,$L$17),MIN($AD$3,$N$19-$N$18+$M$17))</f>
        <v>0</v>
      </c>
    </row>
    <row r="4" spans="1:41" ht="12.75" customHeight="1" x14ac:dyDescent="0.2">
      <c r="E4" s="710" t="str">
        <f>Import.Proponente</f>
        <v>PREFEITURA MUNICIPAL DE SÃO FRANCISCO-MG</v>
      </c>
      <c r="F4" s="710"/>
      <c r="G4" s="710"/>
      <c r="H4" s="710"/>
      <c r="I4" s="697" t="str">
        <f>Import.CR</f>
        <v>01090614-71</v>
      </c>
      <c r="J4" s="697"/>
      <c r="K4" s="697"/>
      <c r="L4" s="73" t="str">
        <f>Import.TransfereGOV</f>
        <v>951453</v>
      </c>
      <c r="M4" s="786" t="s">
        <v>307</v>
      </c>
      <c r="N4" s="787"/>
      <c r="O4" s="788"/>
      <c r="P4" s="448" t="str">
        <f>import.recurso</f>
        <v>OGU</v>
      </c>
      <c r="R4" s="185"/>
      <c r="S4" s="185"/>
      <c r="T4" s="447"/>
      <c r="U4" s="447"/>
      <c r="AC4" s="444" t="s">
        <v>358</v>
      </c>
      <c r="AD4" s="445">
        <f ca="1">SUM(U13:OFFSET(U15,-1,0))</f>
        <v>0</v>
      </c>
      <c r="AE4" s="445">
        <f ca="1">IF(OR($O$19&lt;$M$19,$M$18&gt;$AD$4),MIN($M$18,$L$18),MIN($AD$4,$N$19+$M$18))</f>
        <v>0</v>
      </c>
    </row>
    <row r="5" spans="1:41" ht="5.0999999999999996" customHeight="1" x14ac:dyDescent="0.2">
      <c r="H5" s="362"/>
      <c r="I5" s="362"/>
      <c r="J5" s="362"/>
      <c r="K5" s="362"/>
      <c r="L5" s="362"/>
      <c r="M5" s="449"/>
      <c r="N5" s="346"/>
      <c r="O5" s="60"/>
      <c r="R5" s="185"/>
      <c r="S5" s="185"/>
      <c r="T5" s="185"/>
      <c r="U5" s="185"/>
    </row>
    <row r="6" spans="1:41" ht="12.75" customHeight="1" x14ac:dyDescent="0.2">
      <c r="E6" s="694" t="s">
        <v>202</v>
      </c>
      <c r="F6" s="694"/>
      <c r="G6" s="694"/>
      <c r="H6" s="694"/>
      <c r="I6" s="814" t="s">
        <v>306</v>
      </c>
      <c r="J6" s="814"/>
      <c r="K6" s="814"/>
      <c r="L6" s="814"/>
      <c r="M6" s="72" t="str">
        <f>IF(import.recurso="FGTS","FINANCIAMENTO","REPASSE")</f>
        <v>REPASSE</v>
      </c>
      <c r="N6" s="125" t="s">
        <v>308</v>
      </c>
      <c r="O6" s="72" t="s">
        <v>309</v>
      </c>
      <c r="P6" s="186" t="s">
        <v>359</v>
      </c>
      <c r="R6" s="185"/>
      <c r="S6" s="185"/>
      <c r="T6" s="185"/>
      <c r="U6" s="185"/>
      <c r="AC6" s="444" t="s">
        <v>360</v>
      </c>
      <c r="AD6" s="445">
        <f ca="1">$O$19</f>
        <v>0</v>
      </c>
      <c r="AE6" s="445">
        <f ca="1">AD6</f>
        <v>0</v>
      </c>
    </row>
    <row r="7" spans="1:41" ht="12.75" customHeight="1" x14ac:dyDescent="0.2">
      <c r="D7" s="687" t="s">
        <v>209</v>
      </c>
      <c r="E7" s="697" t="str">
        <f>Import.Apelido</f>
        <v xml:space="preserve">PAVIMENTAÇÃO ASFALTICA EM CBUQ DE DIVERSAS VIAS DO BAIRRO FUNCIONÁRIOS NO  MUNICIPIO DE SÃO FRANCISCO-MG </v>
      </c>
      <c r="F7" s="697"/>
      <c r="G7" s="697"/>
      <c r="H7" s="697"/>
      <c r="I7" s="811" t="str">
        <f>Import.Município</f>
        <v xml:space="preserve">SÃO FRANCISCO </v>
      </c>
      <c r="J7" s="811"/>
      <c r="K7" s="811"/>
      <c r="L7" s="811"/>
      <c r="M7" s="450">
        <f>Import.Repasse</f>
        <v>4785919</v>
      </c>
      <c r="N7" s="451">
        <f>Import.Contrapartida</f>
        <v>338068.87</v>
      </c>
      <c r="O7" s="450">
        <f>M7+N7</f>
        <v>5123987.87</v>
      </c>
      <c r="P7" s="571">
        <f>IF(ACOMPANHAMENTO="PLE",PLE.Medicao,BM.medicao)</f>
        <v>1</v>
      </c>
      <c r="R7" s="185"/>
      <c r="S7" s="185"/>
      <c r="T7" s="185"/>
      <c r="U7" s="185"/>
    </row>
    <row r="8" spans="1:41" x14ac:dyDescent="0.2">
      <c r="D8" s="687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R8" s="185"/>
      <c r="S8" s="185"/>
      <c r="T8" s="185"/>
      <c r="U8" s="185"/>
    </row>
    <row r="9" spans="1:41" ht="12.75" customHeight="1" x14ac:dyDescent="0.2">
      <c r="D9" s="687"/>
      <c r="G9" s="812" t="s">
        <v>361</v>
      </c>
      <c r="H9" s="812"/>
      <c r="I9" s="812" t="s">
        <v>362</v>
      </c>
      <c r="J9" s="812"/>
      <c r="K9" s="452"/>
      <c r="L9" s="813" t="s">
        <v>313</v>
      </c>
      <c r="M9" s="453" t="s">
        <v>316</v>
      </c>
      <c r="N9" s="363" t="s">
        <v>238</v>
      </c>
      <c r="P9" s="454"/>
      <c r="R9" s="185"/>
      <c r="S9" s="185"/>
      <c r="T9" s="185"/>
      <c r="U9" s="185"/>
      <c r="V9" s="9" t="s">
        <v>363</v>
      </c>
    </row>
    <row r="10" spans="1:41" ht="12.75" customHeight="1" x14ac:dyDescent="0.2">
      <c r="D10" s="687"/>
      <c r="G10" s="699" t="e">
        <f ca="1">IF(J10="-","-",IF($P$15&lt;J10,"Atrasada",IF($P$15&gt;J10,"Adiantada","Normal")))</f>
        <v>#DIV/0!</v>
      </c>
      <c r="H10" s="699"/>
      <c r="I10" s="455">
        <f ca="1">DATE(YEAR($L$26),MONTH($L$26),1)</f>
        <v>45717</v>
      </c>
      <c r="J10" s="456" t="e">
        <f ca="1">IF($I$10&lt;DATE(YEAR(CRONO!$T$13),MONTH(CRONO!$T$13),1),0,IF($I$10&gt;CRONO!$AE$13,1,INDEX(CRONO!$S$47:$AG$47,MATCH(RRE!$I$10,CRONO!$S$13:$AG$13,0))))</f>
        <v>#DIV/0!</v>
      </c>
      <c r="K10" s="452"/>
      <c r="L10" s="813"/>
      <c r="M10" s="457">
        <f ca="1">QCI!L10</f>
        <v>4785919</v>
      </c>
      <c r="N10" s="365">
        <f ca="1">QCI!M10</f>
        <v>338068.87</v>
      </c>
      <c r="P10" s="454"/>
      <c r="R10" s="185"/>
      <c r="S10" s="185"/>
      <c r="T10" s="185"/>
      <c r="U10" s="185"/>
      <c r="AC10" s="808" t="s">
        <v>364</v>
      </c>
      <c r="AD10" s="808"/>
      <c r="AE10" s="808"/>
      <c r="AF10" s="808"/>
      <c r="AG10" s="808"/>
      <c r="AH10" s="808"/>
      <c r="AJ10" s="808" t="s">
        <v>4</v>
      </c>
      <c r="AK10" s="808"/>
      <c r="AL10" s="808"/>
      <c r="AM10" s="808"/>
      <c r="AN10" s="808"/>
      <c r="AO10" s="808"/>
    </row>
    <row r="11" spans="1:41" ht="20.100000000000001" customHeight="1" x14ac:dyDescent="0.2">
      <c r="D11" s="687"/>
      <c r="M11" s="628" t="str">
        <f>IF(CAIXA.Modo,"Valores Aferidos (R$)","Valores Medidos (R$)")</f>
        <v>Valores Medidos (R$)</v>
      </c>
      <c r="N11" s="628"/>
      <c r="O11" s="628"/>
      <c r="R11" s="458"/>
      <c r="S11" s="458"/>
      <c r="T11" s="628"/>
      <c r="U11" s="628"/>
      <c r="V11" s="625" t="s">
        <v>411</v>
      </c>
      <c r="Y11" s="809" t="str">
        <f>IF(CAIXA.Modo,"Valores Aferidos (R$)","Valores Medidos (R$)")</f>
        <v>Valores Medidos (R$)</v>
      </c>
      <c r="Z11" s="809"/>
      <c r="AC11" s="810" t="s">
        <v>365</v>
      </c>
      <c r="AD11" s="810"/>
      <c r="AE11" s="810"/>
      <c r="AF11" s="810" t="s">
        <v>366</v>
      </c>
      <c r="AG11" s="810"/>
      <c r="AH11" s="810"/>
      <c r="AJ11" s="810" t="s">
        <v>365</v>
      </c>
      <c r="AK11" s="810"/>
      <c r="AL11" s="810"/>
      <c r="AM11" s="810" t="s">
        <v>366</v>
      </c>
      <c r="AN11" s="810"/>
      <c r="AO11" s="810"/>
    </row>
    <row r="12" spans="1:41" hidden="1" x14ac:dyDescent="0.2">
      <c r="A12" t="e">
        <f ca="1">MATCH(E12,ORÇAMENTO!$E$15:$E$58,0)-1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460">
        <f>QCI!D12</f>
        <v>-1</v>
      </c>
      <c r="F12" s="461" t="str">
        <f ca="1">QCI!G12</f>
        <v/>
      </c>
      <c r="G12" s="462">
        <f>QCI!H12</f>
        <v>0</v>
      </c>
      <c r="H12" s="463">
        <f>QCI!I12</f>
        <v>0</v>
      </c>
      <c r="I12" s="464" t="str">
        <f ca="1">QCI!J12</f>
        <v/>
      </c>
      <c r="J12" s="465" t="str">
        <f ca="1">QCI!K12</f>
        <v/>
      </c>
      <c r="K12" s="466" t="str">
        <f ca="1">IF($C12="Automático",IF(ACOMPANHAMENTO="BM",BM.medicao,PLE.Medicao),IF(ISBLANK($X12),"",$X12))</f>
        <v/>
      </c>
      <c r="L12" s="467">
        <f ca="1">QCI!$O12</f>
        <v>0</v>
      </c>
      <c r="M12" s="469">
        <f ca="1">ROUND(IF(C12="Automático",AE12+AL12,Y12),2)</f>
        <v>0</v>
      </c>
      <c r="N12" s="470">
        <f ca="1">O12-M12</f>
        <v>0</v>
      </c>
      <c r="O12" s="471">
        <f ca="1">ROUND(IF(C12="Automático",AH12+AO12,Z12),2)</f>
        <v>0</v>
      </c>
      <c r="P12" s="472">
        <f ca="1">O12/(L12+10^-12)</f>
        <v>0</v>
      </c>
      <c r="R12" s="468">
        <f ca="1">ROUND(IF($C12="Automático",AC12+AJ12,$Y12*IF(ISERROR(QCI!$AA12/QCI!$O12),0,QCI!$AA12/QCI!$O12)),2)</f>
        <v>0</v>
      </c>
      <c r="S12" s="468">
        <f ca="1">ROUND(IF($C12="Automático",AD12+AK12,$Y12*IF(ISERROR(QCI!$AB12/QCI!$O12),0,QCI!$AB12/QCI!$O12)),2)</f>
        <v>0</v>
      </c>
      <c r="T12" s="468">
        <f ca="1">ROUND(IF($C12="Automático",AF12+AM12,$Z12*IF(ISERROR(QCI!$AA12/QCI!$O12),0,QCI!$AA12/QCI!$O12)),2)</f>
        <v>0</v>
      </c>
      <c r="U12" s="468">
        <f ca="1">ROUND(IF($C12="Automático",AG12+AN12,$Z12*IF(ISERROR(QCI!$AB12/QCI!$O12),0,QCI!$AB12/QCI!$O12)),2)</f>
        <v>0</v>
      </c>
      <c r="V12" s="626" t="str">
        <f ca="1">IF(AND($L12&gt;0,$J12&lt;&gt;0,$J12&lt;&gt;"",COUNTIF($J12:$J$13,$J12)=1),OFFSET(V12,-1,0)+1,OFFSET(V12,-1,0))</f>
        <v>Lista CTEFs</v>
      </c>
      <c r="X12" s="373"/>
      <c r="Y12" s="374"/>
      <c r="Z12" s="376"/>
      <c r="AC12" s="234" t="e">
        <f ca="1">IF(ACOMPANHAMENTO&lt;&gt;"PLE",0,SUMPRODUCT((OFFSET(CÁLCULO!$BV$15:$CN$15,$A12,0,$B12)&lt;=(PLE.Medicao-1))*OFFSET(CÁLCULO!$AJ$15:$BB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234" t="e">
        <f ca="1">IF(ACOMPANHAMENTO&lt;&gt;"PLE",0,SUMPRODUCT((OFFSET(CÁLCULO!$BV$15:$CN$15,$A12,0,$B12)&lt;=(PLE.Medicao-1))*OFFSET(CÁLCULO!$AJ$15:$BB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234" t="e">
        <f ca="1">ROUND(IF(ACOMPANHAMENTO&lt;&gt;"PLE",0,SUMIF(OFFSET(CÁLCULO!$BV$15:$CN$15,$A12,0,$B12),"&lt;="&amp;(PLE.Medicao-1),OFFSET(CÁLCULO!$AJ$15:$BB$15,$A12,0,$B12))+IF(AUTOEVENTO="Manual",SUMIF(OFFSET(CÁLCULO!$M$15,$A12,0,$B12),1,OFFSET(ORÇAMENTO!$X$15,$A12,0,$B12))*(PLE!$AE$9-PLE!$Y$9),0)),2)</f>
        <v>#N/A</v>
      </c>
      <c r="AF12" s="234" t="e">
        <f ca="1">IF(ACOMPANHAMENTO&lt;&gt;"PLE",0,SUMPRODUCT((OFFSET(CÁLCULO!$BV$15:$CN$15,$A12,0,$B12)&lt;=PLE.Medicao)*OFFSET(CÁLCULO!$AJ$15:$BB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234" t="e">
        <f ca="1">IF(ACOMPANHAMENTO&lt;&gt;"PLE",0,SUMPRODUCT((OFFSET(CÁLCULO!$BV$15:$CN$15,$A12,0,$B12)&lt;=PLE.Medicao)*OFFSET(CÁLCULO!$AJ$15:$BB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234" t="e">
        <f ca="1">ROUND(IF(ACOMPANHAMENTO&lt;&gt;"PLE",0,SUMIF(OFFSET(CÁLCULO!$BV$15:$CN$15,$A12,0,$B12),"&lt;="&amp;PLE.Medicao,OFFSET(CÁLCULO!$AJ$15:$BB$15,$A12,0,$B12))+IF(AUTOEVENTO="Manual",SUMIF(OFFSET(CÁLCULO!$M$15,$A12,0,$B12),1,OFFSET(ORÇAMENTO!$X$15,$A12,0,$B12))*PLE!$AE$9,0)),2)</f>
        <v>#N/A</v>
      </c>
      <c r="AJ12" s="234">
        <f ca="1">IF(ACOMPANHAMENTO&lt;&gt;"BM",0,SUMPRODUCT(OFFSET(BM!$M$15,$A12,0,$B12)*(OFFSET(BM!$A$15,$A12,0,$B12)="S")*OFFSET(ORÇAMENTO!AA$15,$A12,0,$B12)/(OFFSET(ORÇAMENTO!$X$15,$A12,0,$B12)+10^-12)))</f>
        <v>0</v>
      </c>
      <c r="AK12" s="234">
        <f ca="1">IF(ACOMPANHAMENTO&lt;&gt;"BM",0,SUMPRODUCT(OFFSET(BM!$M$15,$A12,0,$B12)*(OFFSET(BM!$A$15,$A12,0,$B12)="S")*OFFSET(ORÇAMENTO!AB$15,$A12,0,$B12)/(OFFSET(ORÇAMENTO!$X$15,$A12,0,$B12)+10^-12)))</f>
        <v>0</v>
      </c>
      <c r="AL12" s="234">
        <f ca="1">IF(ACOMPANHAMENTO&lt;&gt;"BM",0,OFFSET(BM!$M$15,$A12,0))</f>
        <v>0</v>
      </c>
      <c r="AM12" s="234">
        <f ca="1">IF(ACOMPANHAMENTO&lt;&gt;"BM",0,SUMPRODUCT(OFFSET(BM!$O$15,$A12,0,$B12)*(OFFSET(BM!$A$15,$A12,0,$B12)="S")*OFFSET(ORÇAMENTO!AA$15,$A12,0,$B12)/(OFFSET(ORÇAMENTO!$X$15,$A12,0,$B12)+10^-12)))</f>
        <v>0</v>
      </c>
      <c r="AN12" s="234">
        <f ca="1">IF(ACOMPANHAMENTO&lt;&gt;"BM",0,SUMPRODUCT(OFFSET(BM!$O$15,$A12,0,$B12)*(OFFSET(BM!$A$15,$A12,0,$B12)="S")*OFFSET(ORÇAMENTO!AB$15,$A12,0,$B12)/(OFFSET(ORÇAMENTO!$X$15,$A12,0,$B12)+10^-12)))</f>
        <v>0</v>
      </c>
      <c r="AO12" s="234">
        <f ca="1">IF(ACOMPANHAMENTO&lt;&gt;"BM",0,OFFSET(BM!$O$15,$A12,0))</f>
        <v>0</v>
      </c>
    </row>
    <row r="13" spans="1:41" ht="39.950000000000003" customHeight="1" x14ac:dyDescent="0.2">
      <c r="A13" s="380" t="s">
        <v>367</v>
      </c>
      <c r="B13" s="12" t="s">
        <v>221</v>
      </c>
      <c r="C13" s="380" t="s">
        <v>318</v>
      </c>
      <c r="D13" s="136" t="s">
        <v>217</v>
      </c>
      <c r="E13" s="137" t="s">
        <v>195</v>
      </c>
      <c r="F13" s="137" t="s">
        <v>321</v>
      </c>
      <c r="G13" s="137" t="s">
        <v>161</v>
      </c>
      <c r="H13" s="137" t="s">
        <v>203</v>
      </c>
      <c r="I13" s="137" t="s">
        <v>322</v>
      </c>
      <c r="J13" s="137" t="s">
        <v>323</v>
      </c>
      <c r="K13" s="381" t="s">
        <v>368</v>
      </c>
      <c r="L13" s="137" t="s">
        <v>369</v>
      </c>
      <c r="M13" s="381" t="s">
        <v>365</v>
      </c>
      <c r="N13" s="382" t="s">
        <v>372</v>
      </c>
      <c r="O13" s="383" t="s">
        <v>366</v>
      </c>
      <c r="P13" s="137" t="s">
        <v>375</v>
      </c>
      <c r="R13" s="473" t="s">
        <v>370</v>
      </c>
      <c r="S13" s="473" t="s">
        <v>371</v>
      </c>
      <c r="T13" s="473" t="s">
        <v>373</v>
      </c>
      <c r="U13" s="473" t="s">
        <v>374</v>
      </c>
      <c r="V13" s="627"/>
      <c r="X13" s="381" t="s">
        <v>368</v>
      </c>
      <c r="Y13" s="202" t="s">
        <v>365</v>
      </c>
      <c r="Z13" s="203" t="s">
        <v>366</v>
      </c>
      <c r="AC13" s="459" t="s">
        <v>169</v>
      </c>
      <c r="AD13" s="459" t="s">
        <v>358</v>
      </c>
      <c r="AE13" s="459" t="s">
        <v>360</v>
      </c>
      <c r="AF13" s="459" t="s">
        <v>169</v>
      </c>
      <c r="AG13" s="459" t="s">
        <v>358</v>
      </c>
      <c r="AH13" s="459" t="s">
        <v>360</v>
      </c>
      <c r="AJ13" s="459" t="s">
        <v>169</v>
      </c>
      <c r="AK13" s="459" t="s">
        <v>358</v>
      </c>
      <c r="AL13" s="459" t="s">
        <v>360</v>
      </c>
      <c r="AM13" s="459" t="s">
        <v>169</v>
      </c>
      <c r="AN13" s="459" t="s">
        <v>358</v>
      </c>
      <c r="AO13" s="459" t="s">
        <v>360</v>
      </c>
    </row>
    <row r="14" spans="1:41" x14ac:dyDescent="0.2">
      <c r="A14">
        <f ca="1">MATCH(E14,ORÇAMENTO!$E$15:$E$58,0)-1</f>
        <v>1</v>
      </c>
      <c r="B14">
        <f ca="1">IF(ISERROR($A14),NA(),OFFSET(ORÇAMENTO!$D$15,$A14,0))</f>
        <v>42</v>
      </c>
      <c r="C14" t="str">
        <f ca="1">QCI!B14</f>
        <v>Automático</v>
      </c>
      <c r="D14" t="str">
        <f t="shared" ref="D14" ca="1" si="0">IF(L14&gt;0,"F","")</f>
        <v/>
      </c>
      <c r="E14" s="460">
        <f>QCI!D14</f>
        <v>1</v>
      </c>
      <c r="F14" s="461" t="str">
        <f ca="1">QCI!G14</f>
        <v xml:space="preserve">PAVIMENTAÇÃO  EM CBUQ DE DIVERSAS VIAS DO MUNICIPIO DE SÃO FRANCISCO-MG </v>
      </c>
      <c r="G14" s="462" t="str">
        <f>QCI!H14</f>
        <v>Em Análise</v>
      </c>
      <c r="H14" s="463">
        <f ca="1">QCI!I14</f>
        <v>27566.989999999994</v>
      </c>
      <c r="I14" s="464" t="str">
        <f ca="1">QCI!J14</f>
        <v>m²</v>
      </c>
      <c r="J14" s="465" t="str">
        <f ca="1">QCI!K14</f>
        <v>LOTE 1</v>
      </c>
      <c r="K14" s="466">
        <f ca="1">IF($C14="Automático",IF(ACOMPANHAMENTO="BM",BM.medicao,PLE.Medicao),IF(ISBLANK($X14),"",$X14))</f>
        <v>1</v>
      </c>
      <c r="L14" s="467">
        <f ca="1">QCI!$O14</f>
        <v>0</v>
      </c>
      <c r="M14" s="469">
        <f t="shared" ref="M14" ca="1" si="1">ROUND(IF(C14="Automático",AE14+AL14,Y14),2)</f>
        <v>0</v>
      </c>
      <c r="N14" s="470">
        <f t="shared" ref="N14" ca="1" si="2">O14-M14</f>
        <v>0</v>
      </c>
      <c r="O14" s="471">
        <f t="shared" ref="O14" ca="1" si="3">ROUND(IF(C14="Automático",AH14+AO14,Z14),2)</f>
        <v>0</v>
      </c>
      <c r="P14" s="472">
        <f t="shared" ref="P14" ca="1" si="4">O14/(L14+10^-12)</f>
        <v>0</v>
      </c>
      <c r="R14" s="468">
        <f ca="1">ROUND(IF($C14="Automático",AC14+AJ14,$Y14*IF(ISERROR(QCI!$AA14/QCI!$O14),0,QCI!$AA14/QCI!$O14)),2)</f>
        <v>0</v>
      </c>
      <c r="S14" s="468">
        <f ca="1">ROUND(IF($C14="Automático",AD14+AK14,$Y14*IF(ISERROR(QCI!$AB14/QCI!$O14),0,QCI!$AB14/QCI!$O14)),2)</f>
        <v>0</v>
      </c>
      <c r="T14" s="468">
        <f ca="1">ROUND(IF($C14="Automático",AF14+AM14,$Z14*IF(ISERROR(QCI!$AA14/QCI!$O14),0,QCI!$AA14/QCI!$O14)),2)</f>
        <v>0</v>
      </c>
      <c r="U14" s="468">
        <f ca="1">ROUND(IF($C14="Automático",AG14+AN14,$Z14*IF(ISERROR(QCI!$AB14/QCI!$O14),0,QCI!$AB14/QCI!$O14)),2)</f>
        <v>0</v>
      </c>
      <c r="V14" s="626">
        <f ca="1">IF(AND($L14&gt;0,$J14&lt;&gt;0,$J14&lt;&gt;"",COUNTIF($J$13:$J14,$J14)=1),OFFSET(V14,-1,0)+1,OFFSET(V14,-1,0))</f>
        <v>0</v>
      </c>
      <c r="X14" s="373"/>
      <c r="Y14" s="374"/>
      <c r="Z14" s="376"/>
      <c r="AC14" s="234">
        <f ca="1">IF(ACOMPANHAMENTO&lt;&gt;"PLE",0,SUMPRODUCT((OFFSET(CÁLCULO!$BV$15:$CN$15,$A14,0,$B14)&lt;=(PLE.Medicao-1))*OFFSET(CÁLCULO!$AJ$15:$BB$15,$A14,0,$B14)*OFFSET(ORÇAMENTO!$AA$15,$A14,0,$B14)/(OFFSET(ORÇAMENTO!$X$15,$A14,0,$B14)+10^-12))+IF(AUTOEVENTO="Manual",SUMPRODUCT((OFFSET(CÁLCULO!$M$15,$A14,0,$B14)=1)*OFFSET(ORÇAMENTO!$AA$15,$A14,0,$B14)*(PLE!$AE$9-PLE!$Y$9)),0))</f>
        <v>0</v>
      </c>
      <c r="AD14" s="234">
        <f ca="1">IF(ACOMPANHAMENTO&lt;&gt;"PLE",0,SUMPRODUCT((OFFSET(CÁLCULO!$BV$15:$CN$15,$A14,0,$B14)&lt;=(PLE.Medicao-1))*OFFSET(CÁLCULO!$AJ$15:$BB$15,$A14,0,$B14)*OFFSET(ORÇAMENTO!$AB$15,$A14,0,$B14)/(OFFSET(ORÇAMENTO!$X$15,$A14,0,$B14)+10^-12))+IF(AUTOEVENTO="Manual",SUMPRODUCT((OFFSET(CÁLCULO!$M$15,$A14,0,$B14)=1)*OFFSET(ORÇAMENTO!$AB$15,$A14,0,$B14)*(PLE!$AE$9-PLE!$Y$9)),0))</f>
        <v>0</v>
      </c>
      <c r="AE14" s="234">
        <f ca="1">ROUND(IF(ACOMPANHAMENTO&lt;&gt;"PLE",0,SUMIF(OFFSET(CÁLCULO!$BV$15:$CN$15,$A14,0,$B14),"&lt;="&amp;(PLE.Medicao-1),OFFSET(CÁLCULO!$AJ$15:$BB$15,$A14,0,$B14))+IF(AUTOEVENTO="Manual",SUMIF(OFFSET(CÁLCULO!$M$15,$A14,0,$B14),1,OFFSET(ORÇAMENTO!$X$15,$A14,0,$B14))*(PLE!$AE$9-PLE!$Y$9),0)),2)</f>
        <v>0</v>
      </c>
      <c r="AF14" s="234">
        <f ca="1">IF(ACOMPANHAMENTO&lt;&gt;"PLE",0,SUMPRODUCT((OFFSET(CÁLCULO!$BV$15:$CN$15,$A14,0,$B14)&lt;=PLE.Medicao)*OFFSET(CÁLCULO!$AJ$15:$BB$15,$A14,0,$B14)*OFFSET(ORÇAMENTO!$AA$15,$A14,0,$B14)/(OFFSET(ORÇAMENTO!$X$15,$A14,0,$B14)+10^-12))+IF(AUTOEVENTO="Manual",SUMPRODUCT((OFFSET(CÁLCULO!$M$15,$A14,0,$B14)=1)*OFFSET(ORÇAMENTO!$AA$15,$A14,0,$B14)*PLE!$AE$9),0))</f>
        <v>0</v>
      </c>
      <c r="AG14" s="234">
        <f ca="1">IF(ACOMPANHAMENTO&lt;&gt;"PLE",0,SUMPRODUCT((OFFSET(CÁLCULO!$BV$15:$CN$15,$A14,0,$B14)&lt;=PLE.Medicao)*OFFSET(CÁLCULO!$AJ$15:$BB$15,$A14,0,$B14)*OFFSET(ORÇAMENTO!$AB$15,$A14,0,$B14)/(OFFSET(ORÇAMENTO!$X$15,$A14,0,$B14)+10^-12))+IF(AUTOEVENTO="Manual",SUMPRODUCT((OFFSET(CÁLCULO!$M$15,$A14,0,$B14)=1)*OFFSET(ORÇAMENTO!$AB$15,$A14,0,$B14)*PLE!$AE$9),0))</f>
        <v>0</v>
      </c>
      <c r="AH14" s="234">
        <f ca="1">ROUND(IF(ACOMPANHAMENTO&lt;&gt;"PLE",0,SUMIF(OFFSET(CÁLCULO!$BV$15:$CN$15,$A14,0,$B14),"&lt;="&amp;PLE.Medicao,OFFSET(CÁLCULO!$AJ$15:$BB$15,$A14,0,$B14))+IF(AUTOEVENTO="Manual",SUMIF(OFFSET(CÁLCULO!$M$15,$A14,0,$B14),1,OFFSET(ORÇAMENTO!$X$15,$A14,0,$B14))*PLE!$AE$9,0)),2)</f>
        <v>0</v>
      </c>
      <c r="AJ14" s="234">
        <f ca="1">IF(ACOMPANHAMENTO&lt;&gt;"BM",0,SUMPRODUCT(OFFSET(BM!$M$15,$A14,0,$B14)*(OFFSET(BM!$A$15,$A14,0,$B14)="S")*OFFSET(ORÇAMENTO!AA$15,$A14,0,$B14)/(OFFSET(ORÇAMENTO!$X$15,$A14,0,$B14)+10^-12)))</f>
        <v>0</v>
      </c>
      <c r="AK14" s="234">
        <f ca="1">IF(ACOMPANHAMENTO&lt;&gt;"BM",0,SUMPRODUCT(OFFSET(BM!$M$15,$A14,0,$B14)*(OFFSET(BM!$A$15,$A14,0,$B14)="S")*OFFSET(ORÇAMENTO!AB$15,$A14,0,$B14)/(OFFSET(ORÇAMENTO!$X$15,$A14,0,$B14)+10^-12)))</f>
        <v>0</v>
      </c>
      <c r="AL14" s="234">
        <f ca="1">IF(ACOMPANHAMENTO&lt;&gt;"BM",0,OFFSET(BM!$M$15,$A14,0))</f>
        <v>0</v>
      </c>
      <c r="AM14" s="234">
        <f ca="1">IF(ACOMPANHAMENTO&lt;&gt;"BM",0,SUMPRODUCT(OFFSET(BM!$O$15,$A14,0,$B14)*(OFFSET(BM!$A$15,$A14,0,$B14)="S")*OFFSET(ORÇAMENTO!AA$15,$A14,0,$B14)/(OFFSET(ORÇAMENTO!$X$15,$A14,0,$B14)+10^-12)))</f>
        <v>0</v>
      </c>
      <c r="AN14" s="234">
        <f ca="1">IF(ACOMPANHAMENTO&lt;&gt;"BM",0,SUMPRODUCT(OFFSET(BM!$O$15,$A14,0,$B14)*(OFFSET(BM!$A$15,$A14,0,$B14)="S")*OFFSET(ORÇAMENTO!AB$15,$A14,0,$B14)/(OFFSET(ORÇAMENTO!$X$15,$A14,0,$B14)+10^-12)))</f>
        <v>0</v>
      </c>
      <c r="AO14" s="234">
        <f ca="1">IF(ACOMPANHAMENTO&lt;&gt;"BM",0,OFFSET(BM!$O$15,$A14,0))</f>
        <v>0</v>
      </c>
    </row>
    <row r="15" spans="1:41" ht="12.95" customHeight="1" x14ac:dyDescent="0.2">
      <c r="D15" t="s">
        <v>246</v>
      </c>
      <c r="E15" s="1"/>
      <c r="F15" s="1"/>
      <c r="G15" s="1"/>
      <c r="H15" s="1"/>
      <c r="I15" s="2"/>
      <c r="J15" s="796" t="s">
        <v>376</v>
      </c>
      <c r="K15" s="797"/>
      <c r="L15" s="474">
        <f ca="1">IF(ISERROR(L19/$L19),0,ROUND(L19/$L19,4))</f>
        <v>0</v>
      </c>
      <c r="M15" s="476">
        <f ca="1">IF(ISERROR(M19/$L19),0,ROUND(M19/$L19,4))</f>
        <v>0</v>
      </c>
      <c r="N15" s="475">
        <f ca="1">IF(ISERROR(N19/$L19),0,ROUND(N19/$L19,4))</f>
        <v>0</v>
      </c>
      <c r="O15" s="477">
        <f ca="1">IF(ISERROR(O19/$L19),0,ROUND(O19/$L19,4))</f>
        <v>0</v>
      </c>
      <c r="P15" s="798">
        <f ca="1">O19/(L19+10^-12)</f>
        <v>0</v>
      </c>
      <c r="X15" s="478"/>
      <c r="Y15" s="479"/>
      <c r="Z15" s="480"/>
    </row>
    <row r="16" spans="1:41" ht="12.95" customHeight="1" x14ac:dyDescent="0.2">
      <c r="D16" t="s">
        <v>246</v>
      </c>
      <c r="E16" s="528"/>
      <c r="F16" s="528"/>
      <c r="G16" s="528"/>
      <c r="H16" s="528"/>
      <c r="I16" s="5"/>
      <c r="J16" s="799" t="str">
        <f>IF(import.recurso="FGTS","Financiamento","Repasse")</f>
        <v>Repasse</v>
      </c>
      <c r="K16" s="800"/>
      <c r="L16" s="481">
        <f ca="1">QCI!L15</f>
        <v>0</v>
      </c>
      <c r="M16" s="482">
        <f ca="1">M19-M18-M17</f>
        <v>0</v>
      </c>
      <c r="N16" s="483">
        <f ca="1">O16-M16</f>
        <v>0</v>
      </c>
      <c r="O16" s="484">
        <f ca="1">O19-O18-O17</f>
        <v>0</v>
      </c>
      <c r="P16" s="798"/>
      <c r="X16" s="485"/>
      <c r="Y16" s="486" t="s">
        <v>377</v>
      </c>
      <c r="Z16" s="487" t="s">
        <v>378</v>
      </c>
      <c r="AC16" s="488" t="s">
        <v>379</v>
      </c>
      <c r="AD16" s="488" t="s">
        <v>380</v>
      </c>
    </row>
    <row r="17" spans="4:30" ht="12.95" customHeight="1" x14ac:dyDescent="0.2">
      <c r="D17" t="s">
        <v>246</v>
      </c>
      <c r="E17" s="528"/>
      <c r="F17" s="528"/>
      <c r="G17" s="528"/>
      <c r="H17" s="528"/>
      <c r="I17" s="5"/>
      <c r="J17" s="801" t="s">
        <v>381</v>
      </c>
      <c r="K17" s="802"/>
      <c r="L17" s="489">
        <f ca="1">QCI!M15</f>
        <v>0</v>
      </c>
      <c r="M17" s="490">
        <f ca="1">ROUND(IF(OFFSET($X$17,0,1)&lt;&gt;"",OFFSET($X$17,0,1),SUM(R13:OFFSET(R15,-1,0))),2)</f>
        <v>0</v>
      </c>
      <c r="N17" s="491">
        <f ca="1">O17-M17</f>
        <v>0</v>
      </c>
      <c r="O17" s="492">
        <f ca="1">IF(OFFSET($X$17,0,2)&lt;&gt;"",OFFSET($X$17,0,2),$AE$3)</f>
        <v>0</v>
      </c>
      <c r="P17" s="798"/>
      <c r="X17" s="493" t="s">
        <v>169</v>
      </c>
      <c r="Y17" s="621"/>
      <c r="Z17" s="622"/>
      <c r="AC17" s="494">
        <f ca="1">MIN($L17,$O$19-OFFSET($X$18,0,1))</f>
        <v>0</v>
      </c>
      <c r="AD17" s="494">
        <f ca="1">MIN($L17,$O$19-OFFSET($X$18,0,2))</f>
        <v>0</v>
      </c>
    </row>
    <row r="18" spans="4:30" ht="12.95" customHeight="1" x14ac:dyDescent="0.2">
      <c r="D18" t="s">
        <v>246</v>
      </c>
      <c r="E18" s="528"/>
      <c r="F18" s="528"/>
      <c r="G18" s="528"/>
      <c r="H18" s="528"/>
      <c r="I18" s="5"/>
      <c r="J18" s="803" t="s">
        <v>358</v>
      </c>
      <c r="K18" s="804"/>
      <c r="L18" s="495">
        <f ca="1">QCI!N15</f>
        <v>0</v>
      </c>
      <c r="M18" s="496">
        <f ca="1">ROUND(IF(OFFSET($X$18,0,1)&lt;&gt;"",OFFSET($X$18,0,1),SUM(S13:OFFSET(S15,-1,0))),2)</f>
        <v>0</v>
      </c>
      <c r="N18" s="497">
        <f ca="1">O18-M18</f>
        <v>0</v>
      </c>
      <c r="O18" s="498">
        <f ca="1">IF(OFFSET($X$18,0,2)&lt;&gt;"",OFFSET($X$18,0,2),$AE$4)</f>
        <v>0</v>
      </c>
      <c r="P18" s="798"/>
      <c r="X18" s="499" t="s">
        <v>278</v>
      </c>
      <c r="Y18" s="623"/>
      <c r="Z18" s="624"/>
      <c r="AC18" s="494">
        <f ca="1">MIN($L18,$O$19-OFFSET($X$17,0,1))</f>
        <v>0</v>
      </c>
      <c r="AD18" s="494">
        <f ca="1">MIN($L18,$O$19-OFFSET($X$17,0,2))</f>
        <v>0</v>
      </c>
    </row>
    <row r="19" spans="4:30" ht="15" x14ac:dyDescent="0.2">
      <c r="D19" t="s">
        <v>246</v>
      </c>
      <c r="E19" s="528"/>
      <c r="F19" s="528"/>
      <c r="G19" s="528"/>
      <c r="H19" s="528"/>
      <c r="I19" s="5"/>
      <c r="J19" s="805" t="s">
        <v>360</v>
      </c>
      <c r="K19" s="806"/>
      <c r="L19" s="500">
        <f ca="1">SUM(L13:OFFSET(L15,-1,0))</f>
        <v>0</v>
      </c>
      <c r="M19" s="501">
        <f ca="1">ROUND(SUM(M13:OFFSET(M15,-1,0)),2)</f>
        <v>0</v>
      </c>
      <c r="N19" s="502">
        <f ca="1">O19-M19</f>
        <v>0</v>
      </c>
      <c r="O19" s="503">
        <f ca="1">SUM(O13:OFFSET(O15,-1,0))</f>
        <v>0</v>
      </c>
      <c r="P19" s="798"/>
      <c r="X19" s="504"/>
      <c r="Y19" s="505"/>
      <c r="Z19" s="506"/>
    </row>
    <row r="20" spans="4:30" x14ac:dyDescent="0.2">
      <c r="O20" s="807" t="str">
        <f ca="1">"Acumulado Anterior:  "&amp;TEXT($M$19/($L$19+10^-12),"0,00%")</f>
        <v>Acumulado Anterior:  0,00%</v>
      </c>
      <c r="P20" s="807"/>
    </row>
    <row r="21" spans="4:30" ht="14.25" x14ac:dyDescent="0.2">
      <c r="E21" s="171" t="s">
        <v>187</v>
      </c>
      <c r="F21" s="106"/>
      <c r="G21" s="106"/>
      <c r="H21" s="106"/>
      <c r="I21" s="106"/>
      <c r="J21" s="106"/>
      <c r="K21" s="106"/>
      <c r="M21" s="106"/>
      <c r="N21" s="106"/>
      <c r="P21" s="629"/>
      <c r="R21" s="106"/>
      <c r="S21" s="106"/>
      <c r="T21" s="106"/>
      <c r="U21" s="106"/>
    </row>
    <row r="22" spans="4:30" ht="12.75" customHeight="1" x14ac:dyDescent="0.2">
      <c r="E22" s="789"/>
      <c r="F22" s="790"/>
      <c r="G22" s="790"/>
      <c r="H22" s="790"/>
      <c r="I22" s="790"/>
      <c r="J22" s="790"/>
      <c r="K22" s="790"/>
      <c r="L22" s="790"/>
      <c r="M22" s="790"/>
      <c r="N22" s="790"/>
      <c r="O22" s="790"/>
      <c r="P22" s="791"/>
      <c r="R22" s="106"/>
      <c r="S22" s="106"/>
      <c r="T22" s="106"/>
      <c r="U22" s="106"/>
    </row>
    <row r="23" spans="4:30" ht="12.75" customHeight="1" x14ac:dyDescent="0.2">
      <c r="E23" s="789"/>
      <c r="F23" s="790"/>
      <c r="G23" s="790"/>
      <c r="H23" s="790"/>
      <c r="I23" s="790"/>
      <c r="J23" s="790"/>
      <c r="K23" s="790"/>
      <c r="L23" s="790"/>
      <c r="M23" s="790"/>
      <c r="N23" s="790"/>
      <c r="O23" s="790"/>
      <c r="P23" s="791"/>
      <c r="R23" s="106"/>
      <c r="S23" s="106"/>
      <c r="T23" s="106"/>
      <c r="U23" s="106"/>
      <c r="Y23" s="507"/>
      <c r="Z23" s="507"/>
    </row>
    <row r="24" spans="4:30" ht="12.75" customHeight="1" x14ac:dyDescent="0.2">
      <c r="E24" s="792"/>
      <c r="F24" s="793"/>
      <c r="G24" s="793"/>
      <c r="H24" s="793"/>
      <c r="I24" s="793"/>
      <c r="J24" s="793"/>
      <c r="K24" s="793"/>
      <c r="L24" s="793"/>
      <c r="M24" s="793"/>
      <c r="N24" s="793"/>
      <c r="O24" s="793"/>
      <c r="P24" s="794"/>
      <c r="R24" s="106"/>
      <c r="S24" s="106"/>
      <c r="T24" s="106"/>
      <c r="U24" s="106"/>
    </row>
    <row r="25" spans="4:30" x14ac:dyDescent="0.2">
      <c r="R25" s="106"/>
      <c r="S25" s="106"/>
      <c r="T25" s="106"/>
      <c r="U25" s="106"/>
    </row>
    <row r="26" spans="4:30" ht="15" x14ac:dyDescent="0.2">
      <c r="E26" s="716" t="str">
        <f>Import.Município</f>
        <v xml:space="preserve">SÃO FRANCISCO </v>
      </c>
      <c r="F26" s="716"/>
      <c r="G26" s="716"/>
      <c r="I26" s="508"/>
      <c r="J26" s="101"/>
      <c r="L26" s="726">
        <f ca="1">DADOS!$F$25</f>
        <v>45737</v>
      </c>
      <c r="M26" s="726"/>
      <c r="N26" s="726"/>
      <c r="O26" s="726"/>
      <c r="R26" s="106"/>
      <c r="S26" s="106"/>
      <c r="T26" s="106"/>
      <c r="U26" s="106"/>
    </row>
    <row r="27" spans="4:30" x14ac:dyDescent="0.2">
      <c r="E27" s="12" t="s">
        <v>188</v>
      </c>
      <c r="F27" s="105"/>
      <c r="G27" s="105"/>
      <c r="L27" s="326" t="s">
        <v>189</v>
      </c>
      <c r="R27" s="106"/>
      <c r="S27" s="106"/>
      <c r="T27" s="106"/>
      <c r="U27" s="106"/>
    </row>
    <row r="28" spans="4:30" x14ac:dyDescent="0.2">
      <c r="E28" s="105"/>
      <c r="F28" s="105"/>
      <c r="G28" s="105"/>
      <c r="R28" s="106"/>
      <c r="S28" s="106"/>
      <c r="T28" s="106"/>
      <c r="U28" s="106"/>
    </row>
    <row r="29" spans="4:30" x14ac:dyDescent="0.2">
      <c r="E29" s="229"/>
      <c r="F29" s="229"/>
      <c r="G29" s="229"/>
      <c r="L29" s="229"/>
      <c r="M29" s="229"/>
      <c r="N29" s="229"/>
      <c r="O29" s="229"/>
      <c r="R29" s="106"/>
      <c r="S29" s="106"/>
      <c r="T29" s="106"/>
      <c r="U29" s="106"/>
    </row>
    <row r="30" spans="4:30" x14ac:dyDescent="0.2">
      <c r="E30" s="509" t="str">
        <f>IF(CAIXA.Modo,"Responsável Gerencial CAIXA","Representante Tomador")</f>
        <v>Representante Tomador</v>
      </c>
      <c r="F30" s="9"/>
      <c r="L30" s="509" t="str">
        <f>IF(CAIXA.Modo,"Responsável Técnico CAIXA","Responsável Técnico pela Fiscalização")</f>
        <v>Responsável Técnico pela Fiscalização</v>
      </c>
      <c r="R30" s="106"/>
      <c r="S30" s="106"/>
      <c r="T30" s="106"/>
      <c r="U30" s="106"/>
    </row>
    <row r="31" spans="4:30" x14ac:dyDescent="0.2">
      <c r="E31" s="95" t="s">
        <v>108</v>
      </c>
      <c r="F31" s="354" t="str">
        <f>IF(CAIXA.Modo,DADOS!F60,DADOS!F28)</f>
        <v>MIGUEL PAULO SOUSA FILHO</v>
      </c>
      <c r="L31" s="95" t="s">
        <v>108</v>
      </c>
      <c r="M31" s="795">
        <f>IF(CAIXA.Modo,BM!X70,DADOS!F51)</f>
        <v>0</v>
      </c>
      <c r="N31" s="795"/>
      <c r="O31" s="795"/>
      <c r="R31" s="106"/>
      <c r="S31" s="106"/>
      <c r="T31" s="106"/>
      <c r="U31" s="106"/>
    </row>
    <row r="32" spans="4:30" x14ac:dyDescent="0.2">
      <c r="E32" s="95" t="str">
        <f>IF(CAIXA.Modo,"Função:","Cargo:")</f>
        <v>Cargo:</v>
      </c>
      <c r="F32" s="354" t="str">
        <f>IF(CAIXA.Modo,DADOS!F61,DADOS!F29)</f>
        <v xml:space="preserve">PREFEITO MUNICIPAL </v>
      </c>
      <c r="L32" s="95" t="str">
        <f>IF(CAIXA.Modo,"Matrícula:","Profissão:")</f>
        <v>Profissão:</v>
      </c>
      <c r="M32" s="795">
        <f>IF(CAIXA.Modo,BM!X71,DADOS!F52)</f>
        <v>0</v>
      </c>
      <c r="N32" s="795"/>
      <c r="O32" s="795"/>
      <c r="R32" s="106"/>
      <c r="S32" s="106"/>
      <c r="T32" s="106"/>
      <c r="U32" s="106"/>
    </row>
    <row r="33" spans="5:21" x14ac:dyDescent="0.2">
      <c r="L33" s="95" t="s">
        <v>109</v>
      </c>
      <c r="M33" s="795">
        <f>IF(CAIXA.Modo,BM!X72,DADOS!F53)</f>
        <v>0</v>
      </c>
      <c r="N33" s="795"/>
      <c r="O33" s="795"/>
      <c r="R33" s="106"/>
      <c r="S33" s="106"/>
      <c r="T33" s="106"/>
      <c r="U33" s="106"/>
    </row>
    <row r="34" spans="5:21" x14ac:dyDescent="0.2">
      <c r="L34" s="95" t="str">
        <f>IF(CAIXA.Modo,"","ART/RRT:")</f>
        <v>ART/RRT:</v>
      </c>
      <c r="M34" s="355">
        <f>IF(CAIXA.Modo,"",DADOS!F54)</f>
        <v>0</v>
      </c>
      <c r="R34" s="106"/>
      <c r="S34" s="106"/>
      <c r="T34" s="106"/>
      <c r="U34" s="106"/>
    </row>
    <row r="35" spans="5:21" x14ac:dyDescent="0.2">
      <c r="R35" s="106"/>
      <c r="S35" s="106"/>
      <c r="T35" s="106"/>
      <c r="U35" s="106"/>
    </row>
    <row r="36" spans="5:21" x14ac:dyDescent="0.2">
      <c r="E36" s="229"/>
      <c r="F36" s="229"/>
      <c r="G36" s="229"/>
      <c r="L36" s="229"/>
      <c r="M36" s="229"/>
      <c r="N36" s="229"/>
      <c r="O36" s="229"/>
      <c r="R36" s="106"/>
      <c r="S36" s="106"/>
      <c r="T36" s="106"/>
      <c r="U36" s="106"/>
    </row>
    <row r="37" spans="5:21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  <c r="R37" s="106"/>
      <c r="S37" s="106"/>
      <c r="T37" s="106"/>
      <c r="U37" s="106"/>
    </row>
    <row r="38" spans="5:21" x14ac:dyDescent="0.2">
      <c r="E38" s="95" t="s">
        <v>108</v>
      </c>
      <c r="F38" s="770"/>
      <c r="G38" s="770"/>
      <c r="L38" s="95" t="s">
        <v>108</v>
      </c>
      <c r="M38" s="770"/>
      <c r="N38" s="770"/>
      <c r="O38" s="770"/>
      <c r="R38" s="106"/>
      <c r="S38" s="106"/>
      <c r="T38" s="106"/>
      <c r="U38" s="106"/>
    </row>
    <row r="39" spans="5:21" x14ac:dyDescent="0.2">
      <c r="E39" s="95" t="str">
        <f>IF(CAIXA.Modo,"Função:","Cargo:")</f>
        <v>Cargo:</v>
      </c>
      <c r="F39" s="770"/>
      <c r="G39" s="770"/>
      <c r="L39" s="95" t="str">
        <f>IF(CAIXA.Modo,"Função:","Cargo:")</f>
        <v>Cargo:</v>
      </c>
      <c r="M39" s="770"/>
      <c r="N39" s="770"/>
      <c r="O39" s="770"/>
      <c r="R39" s="106"/>
      <c r="S39" s="106"/>
      <c r="T39" s="106"/>
      <c r="U39" s="106"/>
    </row>
    <row r="40" spans="5:21" x14ac:dyDescent="0.2">
      <c r="E40" s="95" t="str">
        <f>IF(CAIXA.Modo,"Matr:","")</f>
        <v/>
      </c>
      <c r="F40" s="770"/>
      <c r="G40" s="770"/>
      <c r="L40" s="95" t="str">
        <f>IF(CAIXA.Modo,"Matrícula:","")</f>
        <v/>
      </c>
      <c r="M40" s="770"/>
      <c r="N40" s="770"/>
      <c r="O40" s="770"/>
      <c r="R40" s="106"/>
      <c r="S40" s="106"/>
      <c r="T40" s="106"/>
      <c r="U40" s="106"/>
    </row>
    <row r="41" spans="5:21" x14ac:dyDescent="0.2">
      <c r="R41" s="106"/>
      <c r="S41" s="106"/>
      <c r="T41" s="106"/>
      <c r="U41" s="106"/>
    </row>
    <row r="42" spans="5:21" x14ac:dyDescent="0.2">
      <c r="R42" s="106"/>
      <c r="S42" s="106"/>
      <c r="T42" s="106"/>
      <c r="U42" s="106"/>
    </row>
    <row r="43" spans="5:21" x14ac:dyDescent="0.2">
      <c r="R43" s="106"/>
      <c r="S43" s="106"/>
      <c r="T43" s="106"/>
      <c r="U43" s="106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 X14:Z14">
    <cfRule type="expression" dxfId="4" priority="82" stopIfTrue="1">
      <formula>OR($C12="Automático",$C12="Branco")</formula>
    </cfRule>
  </conditionalFormatting>
  <conditionalFormatting sqref="F40:G40 M40:O40">
    <cfRule type="expression" dxfId="3" priority="83" stopIfTrue="1">
      <formula>CAIXA.Modo=FALSE</formula>
    </cfRule>
  </conditionalFormatting>
  <conditionalFormatting sqref="M12 M16:M19 O12 O16:O19 M14 O14">
    <cfRule type="cellIs" dxfId="2" priority="84" stopIfTrue="1" operator="notBetween">
      <formula>0</formula>
      <formula>$L12</formula>
    </cfRule>
  </conditionalFormatting>
  <conditionalFormatting sqref="M10:N10">
    <cfRule type="cellIs" dxfId="1" priority="85" stopIfTrue="1" operator="lessThan">
      <formula>0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Q56"/>
  <sheetViews>
    <sheetView showGridLines="0" zoomScale="90" zoomScaleNormal="90" zoomScaleSheetLayoutView="100" workbookViewId="0"/>
  </sheetViews>
  <sheetFormatPr defaultRowHeight="12.75" x14ac:dyDescent="0.2"/>
  <cols>
    <col min="1" max="1" width="2" style="105" customWidth="1"/>
    <col min="2" max="2" width="15.7109375" style="105" customWidth="1"/>
    <col min="3" max="3" width="6.7109375" style="105" customWidth="1"/>
    <col min="4" max="5" width="20.7109375" style="105" customWidth="1"/>
    <col min="6" max="6" width="8.7109375" style="105" customWidth="1"/>
    <col min="7" max="7" width="12.7109375" style="10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836"/>
      <c r="C1" s="836"/>
      <c r="D1" s="66"/>
      <c r="E1" s="66"/>
      <c r="F1" s="66"/>
      <c r="G1" s="69" t="s">
        <v>140</v>
      </c>
    </row>
    <row r="2" spans="2:17" x14ac:dyDescent="0.2">
      <c r="B2" s="836"/>
      <c r="C2" s="836"/>
      <c r="D2" s="510"/>
      <c r="E2" s="510"/>
      <c r="F2" s="510"/>
      <c r="G2" s="14" t="s">
        <v>382</v>
      </c>
    </row>
    <row r="3" spans="2:17" ht="26.1" customHeight="1" thickBot="1" x14ac:dyDescent="0.25">
      <c r="B3" s="836"/>
      <c r="C3" s="836"/>
      <c r="D3" s="511"/>
      <c r="E3" s="511"/>
      <c r="F3" s="511"/>
      <c r="G3" s="512"/>
      <c r="I3" s="513" t="s">
        <v>383</v>
      </c>
      <c r="J3" s="177"/>
      <c r="K3" s="177"/>
      <c r="L3" s="177"/>
    </row>
    <row r="4" spans="2:17" ht="12.75" customHeight="1" x14ac:dyDescent="0.2">
      <c r="B4" s="836"/>
      <c r="C4" s="836"/>
      <c r="D4" s="510"/>
      <c r="E4" s="510"/>
      <c r="F4" s="510"/>
      <c r="G4" s="510"/>
      <c r="I4" s="837" t="s">
        <v>384</v>
      </c>
      <c r="J4" s="839" t="s">
        <v>385</v>
      </c>
      <c r="K4" s="839" t="s">
        <v>386</v>
      </c>
      <c r="L4" s="832" t="s">
        <v>387</v>
      </c>
    </row>
    <row r="5" spans="2:17" x14ac:dyDescent="0.2">
      <c r="I5" s="838"/>
      <c r="J5" s="840"/>
      <c r="K5" s="840"/>
      <c r="L5" s="833"/>
    </row>
    <row r="6" spans="2:17" x14ac:dyDescent="0.2">
      <c r="B6" s="514" t="s">
        <v>388</v>
      </c>
      <c r="C6" s="834"/>
      <c r="D6" s="834"/>
      <c r="E6" s="514"/>
      <c r="F6" s="514"/>
      <c r="G6" s="66"/>
      <c r="I6" s="606" t="str">
        <f ca="1">IF(ROW(I6)-ROW(L$5)&gt;MAX(RRE!$V$13:$V$15),"",INDEX(RRE!$J$13:$J$15,MATCH(ROW(I6)-ROW(I$5),RRE!$V$13:$V$15,0)))</f>
        <v/>
      </c>
      <c r="J6" s="607" t="str">
        <f ca="1">IF(I6="","",SUMIF(RRE!$J$13:$J$15,OFÍCIO!$I6,RRE!$L$13:$L$15))</f>
        <v/>
      </c>
      <c r="K6" s="607" t="str">
        <f ca="1">IF(J6="","",SUMIF(RRE!$J$13:$J$15,OFÍCIO!$I6,RRE!$N$13:$N$15))</f>
        <v/>
      </c>
      <c r="L6" s="608" t="str">
        <f ca="1">IF(K6="","",SUMIF(RRE!$J$13:$J$15,OFÍCIO!$I6,RRE!$O$13:$O$15))</f>
        <v/>
      </c>
      <c r="N6" s="12"/>
    </row>
    <row r="7" spans="2:17" x14ac:dyDescent="0.2">
      <c r="B7" s="515"/>
      <c r="C7" s="515"/>
      <c r="D7" s="510"/>
      <c r="E7" s="510"/>
      <c r="F7" s="510"/>
      <c r="G7" s="510"/>
      <c r="I7" s="600" t="str">
        <f ca="1">IF(ROW(I7)-ROW(L$5)&gt;MAX(RRE!$V$13:$V$15),"",INDEX(RRE!$J$13:$J$15,MATCH(ROW(I7)-ROW(I$5),RRE!$V$13:$V$15,0)))</f>
        <v/>
      </c>
      <c r="J7" s="601" t="str">
        <f ca="1">IF(I7="","",SUMIF(RRE!$J$13:$J$15,OFÍCIO!$I7,RRE!$L$13:$L$15))</f>
        <v/>
      </c>
      <c r="K7" s="601" t="str">
        <f ca="1">IF(J7="","",SUMIF(RRE!$J$13:$J$15,OFÍCIO!$I7,RRE!$N$13:$N$15))</f>
        <v/>
      </c>
      <c r="L7" s="602" t="str">
        <f ca="1">IF(K7="","",SUMIF(RRE!$J$13:$J$15,OFÍCIO!$I7,RRE!$O$13:$O$15))</f>
        <v/>
      </c>
    </row>
    <row r="8" spans="2:17" x14ac:dyDescent="0.2">
      <c r="B8" s="835" t="str">
        <f ca="1">CONCATENATE(RRE!$E$26,", ",TEXT(RRE!$L$26,"dd"" de ""mmmm"" de ""aaaa"))</f>
        <v>SÃO FRANCISCO , 21 de março de 2025</v>
      </c>
      <c r="C8" s="835"/>
      <c r="D8" s="835"/>
      <c r="E8" s="835"/>
      <c r="F8" s="835"/>
      <c r="G8" s="835"/>
      <c r="H8" s="516"/>
      <c r="I8" s="600" t="str">
        <f ca="1">IF(ROW(I8)-ROW(L$5)&gt;MAX(RRE!$V$13:$V$15),"",INDEX(RRE!$J$13:$J$15,MATCH(ROW(I8)-ROW(I$5),RRE!$V$13:$V$15,0)))</f>
        <v/>
      </c>
      <c r="J8" s="601" t="str">
        <f ca="1">IF(I8="","",SUMIF(RRE!$J$13:$J$15,OFÍCIO!$I8,RRE!$L$13:$L$15))</f>
        <v/>
      </c>
      <c r="K8" s="601" t="str">
        <f ca="1">IF(J8="","",SUMIF(RRE!$J$13:$J$15,OFÍCIO!$I8,RRE!$N$13:$N$15))</f>
        <v/>
      </c>
      <c r="L8" s="602" t="str">
        <f ca="1">IF(K8="","",SUMIF(RRE!$J$13:$J$15,OFÍCIO!$I8,RRE!$O$13:$O$15))</f>
        <v/>
      </c>
      <c r="N8" s="516"/>
      <c r="O8" s="516"/>
      <c r="P8" s="516"/>
      <c r="Q8" s="516"/>
    </row>
    <row r="9" spans="2:17" x14ac:dyDescent="0.2">
      <c r="B9" s="517" t="s">
        <v>389</v>
      </c>
      <c r="C9" s="66"/>
      <c r="D9" s="66"/>
      <c r="G9" s="66"/>
      <c r="H9" s="516"/>
      <c r="I9" s="600" t="str">
        <f ca="1">IF(ROW(I9)-ROW(L$5)&gt;MAX(RRE!$V$13:$V$15),"",INDEX(RRE!$J$13:$J$15,MATCH(ROW(I9)-ROW(I$5),RRE!$V$13:$V$15,0)))</f>
        <v/>
      </c>
      <c r="J9" s="601" t="str">
        <f ca="1">IF(I9="","",SUMIF(RRE!$J$13:$J$15,OFÍCIO!$I9,RRE!$L$13:$L$15))</f>
        <v/>
      </c>
      <c r="K9" s="601" t="str">
        <f ca="1">IF(J9="","",SUMIF(RRE!$J$13:$J$15,OFÍCIO!$I9,RRE!$N$13:$N$15))</f>
        <v/>
      </c>
      <c r="L9" s="602" t="str">
        <f ca="1">IF(K9="","",SUMIF(RRE!$J$13:$J$15,OFÍCIO!$I9,RRE!$O$13:$O$15))</f>
        <v/>
      </c>
      <c r="N9" s="516"/>
      <c r="O9" s="516"/>
      <c r="P9" s="516"/>
      <c r="Q9" s="516"/>
    </row>
    <row r="10" spans="2:17" x14ac:dyDescent="0.2">
      <c r="B10" s="827" t="s">
        <v>390</v>
      </c>
      <c r="C10" s="827"/>
      <c r="D10" s="827"/>
      <c r="G10" s="66"/>
      <c r="H10" s="516"/>
      <c r="I10" s="600" t="str">
        <f ca="1">IF(ROW(I10)-ROW(L$5)&gt;MAX(RRE!$V$13:$V$15),"",INDEX(RRE!$J$13:$J$15,MATCH(ROW(I10)-ROW(I$5),RRE!$V$13:$V$15,0)))</f>
        <v/>
      </c>
      <c r="J10" s="601" t="str">
        <f ca="1">IF(I10="","",SUMIF(RRE!$J$13:$J$15,OFÍCIO!$I10,RRE!$L$13:$L$15))</f>
        <v/>
      </c>
      <c r="K10" s="601" t="str">
        <f ca="1">IF(J10="","",SUMIF(RRE!$J$13:$J$15,OFÍCIO!$I10,RRE!$N$13:$N$15))</f>
        <v/>
      </c>
      <c r="L10" s="602" t="str">
        <f ca="1">IF(K10="","",SUMIF(RRE!$J$13:$J$15,OFÍCIO!$I10,RRE!$O$13:$O$15))</f>
        <v/>
      </c>
      <c r="N10" s="516"/>
      <c r="O10" s="516"/>
      <c r="P10" s="516"/>
      <c r="Q10" s="516"/>
    </row>
    <row r="11" spans="2:17" x14ac:dyDescent="0.2">
      <c r="B11" s="518" t="s">
        <v>410</v>
      </c>
      <c r="C11" s="826"/>
      <c r="D11" s="826"/>
      <c r="G11" s="66"/>
      <c r="H11" s="516"/>
      <c r="I11" s="600" t="str">
        <f ca="1">IF(ROW(I11)-ROW(L$5)&gt;MAX(RRE!$V$13:$V$15),"",INDEX(RRE!$J$13:$J$15,MATCH(ROW(I11)-ROW(I$5),RRE!$V$13:$V$15,0)))</f>
        <v/>
      </c>
      <c r="J11" s="601" t="str">
        <f ca="1">IF(I11="","",SUMIF(RRE!$J$13:$J$15,OFÍCIO!$I11,RRE!$L$13:$L$15))</f>
        <v/>
      </c>
      <c r="K11" s="601" t="str">
        <f ca="1">IF(J11="","",SUMIF(RRE!$J$13:$J$15,OFÍCIO!$I11,RRE!$N$13:$N$15))</f>
        <v/>
      </c>
      <c r="L11" s="602" t="str">
        <f ca="1">IF(K11="","",SUMIF(RRE!$J$13:$J$15,OFÍCIO!$I11,RRE!$O$13:$O$15))</f>
        <v/>
      </c>
      <c r="N11" s="516"/>
      <c r="O11" s="516"/>
      <c r="P11" s="516"/>
      <c r="Q11" s="516"/>
    </row>
    <row r="12" spans="2:17" x14ac:dyDescent="0.2">
      <c r="B12" s="519"/>
      <c r="C12" s="519"/>
      <c r="D12" s="519"/>
      <c r="E12" s="519"/>
      <c r="F12" s="519"/>
      <c r="G12" s="66"/>
      <c r="H12" s="516"/>
      <c r="I12" s="600" t="str">
        <f ca="1">IF(ROW(I12)-ROW(L$5)&gt;MAX(RRE!$V$13:$V$15),"",INDEX(RRE!$J$13:$J$15,MATCH(ROW(I12)-ROW(I$5),RRE!$V$13:$V$15,0)))</f>
        <v/>
      </c>
      <c r="J12" s="601" t="str">
        <f ca="1">IF(I12="","",SUMIF(RRE!$J$13:$J$15,OFÍCIO!$I12,RRE!$L$13:$L$15))</f>
        <v/>
      </c>
      <c r="K12" s="601" t="str">
        <f ca="1">IF(J12="","",SUMIF(RRE!$J$13:$J$15,OFÍCIO!$I12,RRE!$N$13:$N$15))</f>
        <v/>
      </c>
      <c r="L12" s="602" t="str">
        <f ca="1">IF(K12="","",SUMIF(RRE!$J$13:$J$15,OFÍCIO!$I12,RRE!$O$13:$O$15))</f>
        <v/>
      </c>
      <c r="N12" s="516"/>
      <c r="O12" s="516"/>
      <c r="P12" s="516"/>
      <c r="Q12" s="516"/>
    </row>
    <row r="13" spans="2:17" x14ac:dyDescent="0.2">
      <c r="B13" s="66"/>
      <c r="C13" s="66"/>
      <c r="D13" s="66"/>
      <c r="E13" s="66"/>
      <c r="F13" s="66"/>
      <c r="G13" s="66"/>
      <c r="I13" s="600" t="str">
        <f ca="1">IF(ROW(I13)-ROW(L$5)&gt;MAX(RRE!$V$13:$V$15),"",INDEX(RRE!$J$13:$J$15,MATCH(ROW(I13)-ROW(I$5),RRE!$V$13:$V$15,0)))</f>
        <v/>
      </c>
      <c r="J13" s="601" t="str">
        <f ca="1">IF(I13="","",SUMIF(RRE!$J$13:$J$15,OFÍCIO!$I13,RRE!$L$13:$L$15))</f>
        <v/>
      </c>
      <c r="K13" s="601" t="str">
        <f ca="1">IF(J13="","",SUMIF(RRE!$J$13:$J$15,OFÍCIO!$I13,RRE!$N$13:$N$15))</f>
        <v/>
      </c>
      <c r="L13" s="602" t="str">
        <f ca="1">IF(K13="","",SUMIF(RRE!$J$13:$J$15,OFÍCIO!$I13,RRE!$O$13:$O$15))</f>
        <v/>
      </c>
    </row>
    <row r="14" spans="2:17" x14ac:dyDescent="0.2">
      <c r="B14" s="517" t="s">
        <v>391</v>
      </c>
      <c r="C14" s="827" t="str">
        <f ca="1">CONCATENATE(RRE.Numero,"ª"," Solicitação de ",IF(import.recurso="OGU","Desbloqueio","Desembolso")," de Recursos.")</f>
        <v>1ª Solicitação de Desbloqueio de Recursos.</v>
      </c>
      <c r="D14" s="827"/>
      <c r="E14" s="827"/>
      <c r="F14" s="827"/>
      <c r="G14" s="827"/>
      <c r="I14" s="600" t="str">
        <f ca="1">IF(ROW(I14)-ROW(L$5)&gt;MAX(RRE!$V$13:$V$15),"",INDEX(RRE!$J$13:$J$15,MATCH(ROW(I14)-ROW(I$5),RRE!$V$13:$V$15,0)))</f>
        <v/>
      </c>
      <c r="J14" s="601" t="str">
        <f ca="1">IF(I14="","",SUMIF(RRE!$J$13:$J$15,OFÍCIO!$I14,RRE!$L$13:$L$15))</f>
        <v/>
      </c>
      <c r="K14" s="601" t="str">
        <f ca="1">IF(J14="","",SUMIF(RRE!$J$13:$J$15,OFÍCIO!$I14,RRE!$N$13:$N$15))</f>
        <v/>
      </c>
      <c r="L14" s="602" t="str">
        <f ca="1">IF(K14="","",SUMIF(RRE!$J$13:$J$15,OFÍCIO!$I14,RRE!$O$13:$O$15))</f>
        <v/>
      </c>
    </row>
    <row r="15" spans="2:17" ht="12.75" customHeight="1" x14ac:dyDescent="0.2">
      <c r="B15" s="517" t="s">
        <v>392</v>
      </c>
      <c r="C15" s="828" t="str">
        <f>CONCATENATE("Contrato de ",IF(import.recurso="OGU","Repasse","Financiamento")," - Operação nº ",Import.CR,IF(Import.TransfereGOV="","",CONCATENATE(" - TransfereGOV nº ",Import.TransfereGOV)))</f>
        <v>Contrato de Repasse - Operação nº 01090614-71 - TransfereGOV nº 951453</v>
      </c>
      <c r="D15" s="828"/>
      <c r="E15" s="828"/>
      <c r="F15" s="828"/>
      <c r="G15" s="828"/>
      <c r="I15" s="600" t="str">
        <f ca="1">IF(ROW(I15)-ROW(L$5)&gt;MAX(RRE!$V$13:$V$15),"",INDEX(RRE!$J$13:$J$15,MATCH(ROW(I15)-ROW(I$5),RRE!$V$13:$V$15,0)))</f>
        <v/>
      </c>
      <c r="J15" s="601" t="str">
        <f ca="1">IF(I15="","",SUMIF(RRE!$J$13:$J$15,OFÍCIO!$I15,RRE!$L$13:$L$15))</f>
        <v/>
      </c>
      <c r="K15" s="601" t="str">
        <f ca="1">IF(J15="","",SUMIF(RRE!$J$13:$J$15,OFÍCIO!$I15,RRE!$N$13:$N$15))</f>
        <v/>
      </c>
      <c r="L15" s="602" t="str">
        <f ca="1">IF(K15="","",SUMIF(RRE!$J$13:$J$15,OFÍCIO!$I15,RRE!$O$13:$O$15))</f>
        <v/>
      </c>
    </row>
    <row r="16" spans="2:17" x14ac:dyDescent="0.2">
      <c r="B16" s="517"/>
      <c r="C16" s="828"/>
      <c r="D16" s="828"/>
      <c r="E16" s="828"/>
      <c r="F16" s="828"/>
      <c r="G16" s="828"/>
      <c r="I16" s="600" t="str">
        <f ca="1">IF(ROW(I16)-ROW(L$5)&gt;MAX(RRE!$V$13:$V$15),"",INDEX(RRE!$J$13:$J$15,MATCH(ROW(I16)-ROW(I$5),RRE!$V$13:$V$15,0)))</f>
        <v/>
      </c>
      <c r="J16" s="601" t="str">
        <f ca="1">IF(I16="","",SUMIF(RRE!$J$13:$J$15,OFÍCIO!$I16,RRE!$L$13:$L$15))</f>
        <v/>
      </c>
      <c r="K16" s="601" t="str">
        <f ca="1">IF(J16="","",SUMIF(RRE!$J$13:$J$15,OFÍCIO!$I16,RRE!$N$13:$N$15))</f>
        <v/>
      </c>
      <c r="L16" s="602" t="str">
        <f ca="1">IF(K16="","",SUMIF(RRE!$J$13:$J$15,OFÍCIO!$I16,RRE!$O$13:$O$15))</f>
        <v/>
      </c>
    </row>
    <row r="17" spans="2:12" x14ac:dyDescent="0.2">
      <c r="B17" s="66"/>
      <c r="C17" s="66"/>
      <c r="D17" s="66"/>
      <c r="E17" s="66"/>
      <c r="F17" s="66"/>
      <c r="G17" s="66"/>
      <c r="I17" s="600" t="str">
        <f ca="1">IF(ROW(I17)-ROW(L$5)&gt;MAX(RRE!$V$13:$V$15),"",INDEX(RRE!$J$13:$J$15,MATCH(ROW(I17)-ROW(I$5),RRE!$V$13:$V$15,0)))</f>
        <v/>
      </c>
      <c r="J17" s="601" t="str">
        <f ca="1">IF(I17="","",SUMIF(RRE!$J$13:$J$15,OFÍCIO!$I17,RRE!$L$13:$L$15))</f>
        <v/>
      </c>
      <c r="K17" s="601" t="str">
        <f ca="1">IF(J17="","",SUMIF(RRE!$J$13:$J$15,OFÍCIO!$I17,RRE!$N$13:$N$15))</f>
        <v/>
      </c>
      <c r="L17" s="602" t="str">
        <f ca="1">IF(K17="","",SUMIF(RRE!$J$13:$J$15,OFÍCIO!$I17,RRE!$O$13:$O$15))</f>
        <v/>
      </c>
    </row>
    <row r="18" spans="2:12" ht="12.75" customHeight="1" x14ac:dyDescent="0.2">
      <c r="B18" s="520" t="s">
        <v>393</v>
      </c>
      <c r="C18" s="829" t="str">
        <f>Import.DescLote</f>
        <v xml:space="preserve">PAVIMENTAÇÃO ASFALTICA EM CBUQ DE DIVERSAS VIAS DO BAIRRO FUNCIONÁRIOS NO  MUNICIPIO DE SÃO FRANCISCO-MG  </v>
      </c>
      <c r="D18" s="829"/>
      <c r="E18" s="829"/>
      <c r="F18" s="829"/>
      <c r="G18" s="829"/>
      <c r="I18" s="600" t="str">
        <f ca="1">IF(ROW(I18)-ROW(L$5)&gt;MAX(RRE!$V$13:$V$15),"",INDEX(RRE!$J$13:$J$15,MATCH(ROW(I18)-ROW(I$5),RRE!$V$13:$V$15,0)))</f>
        <v/>
      </c>
      <c r="J18" s="601" t="str">
        <f ca="1">IF(I18="","",SUMIF(RRE!$J$13:$J$15,OFÍCIO!$I18,RRE!$L$13:$L$15))</f>
        <v/>
      </c>
      <c r="K18" s="601" t="str">
        <f ca="1">IF(J18="","",SUMIF(RRE!$J$13:$J$15,OFÍCIO!$I18,RRE!$N$13:$N$15))</f>
        <v/>
      </c>
      <c r="L18" s="602" t="str">
        <f ca="1">IF(K18="","",SUMIF(RRE!$J$13:$J$15,OFÍCIO!$I18,RRE!$O$13:$O$15))</f>
        <v/>
      </c>
    </row>
    <row r="19" spans="2:12" ht="12.75" customHeight="1" x14ac:dyDescent="0.2">
      <c r="B19" s="824" t="s">
        <v>394</v>
      </c>
      <c r="C19" s="825" t="str">
        <f>Import.Proponente</f>
        <v>PREFEITURA MUNICIPAL DE SÃO FRANCISCO-MG</v>
      </c>
      <c r="D19" s="825"/>
      <c r="E19" s="825"/>
      <c r="F19" s="825"/>
      <c r="G19" s="825"/>
      <c r="I19" s="600" t="str">
        <f ca="1">IF(ROW(I19)-ROW(L$5)&gt;MAX(RRE!$V$13:$V$15),"",INDEX(RRE!$J$13:$J$15,MATCH(ROW(I19)-ROW(I$5),RRE!$V$13:$V$15,0)))</f>
        <v/>
      </c>
      <c r="J19" s="601" t="str">
        <f ca="1">IF(I19="","",SUMIF(RRE!$J$13:$J$15,OFÍCIO!$I19,RRE!$L$13:$L$15))</f>
        <v/>
      </c>
      <c r="K19" s="601" t="str">
        <f ca="1">IF(J19="","",SUMIF(RRE!$J$13:$J$15,OFÍCIO!$I19,RRE!$N$13:$N$15))</f>
        <v/>
      </c>
      <c r="L19" s="602" t="str">
        <f ca="1">IF(K19="","",SUMIF(RRE!$J$13:$J$15,OFÍCIO!$I19,RRE!$O$13:$O$15))</f>
        <v/>
      </c>
    </row>
    <row r="20" spans="2:12" x14ac:dyDescent="0.2">
      <c r="B20" s="824"/>
      <c r="C20" s="825"/>
      <c r="D20" s="825"/>
      <c r="E20" s="825"/>
      <c r="F20" s="825"/>
      <c r="G20" s="825"/>
      <c r="I20" s="600" t="str">
        <f ca="1">IF(ROW(I20)-ROW(L$5)&gt;MAX(RRE!$V$13:$V$15),"",INDEX(RRE!$J$13:$J$15,MATCH(ROW(I20)-ROW(I$5),RRE!$V$13:$V$15,0)))</f>
        <v/>
      </c>
      <c r="J20" s="601" t="str">
        <f ca="1">IF(I20="","",SUMIF(RRE!$J$13:$J$15,OFÍCIO!$I20,RRE!$L$13:$L$15))</f>
        <v/>
      </c>
      <c r="K20" s="601" t="str">
        <f ca="1">IF(J20="","",SUMIF(RRE!$J$13:$J$15,OFÍCIO!$I20,RRE!$N$13:$N$15))</f>
        <v/>
      </c>
      <c r="L20" s="602" t="str">
        <f ca="1">IF(K20="","",SUMIF(RRE!$J$13:$J$15,OFÍCIO!$I20,RRE!$O$13:$O$15))</f>
        <v/>
      </c>
    </row>
    <row r="21" spans="2:12" x14ac:dyDescent="0.2">
      <c r="B21" s="66"/>
      <c r="C21" s="66"/>
      <c r="D21" s="66"/>
      <c r="E21" s="66"/>
      <c r="F21" s="66"/>
      <c r="G21" s="66"/>
      <c r="I21" s="600" t="str">
        <f ca="1">IF(ROW(I21)-ROW(L$5)&gt;MAX(RRE!$V$13:$V$15),"",INDEX(RRE!$J$13:$J$15,MATCH(ROW(I21)-ROW(I$5),RRE!$V$13:$V$15,0)))</f>
        <v/>
      </c>
      <c r="J21" s="601" t="str">
        <f ca="1">IF(I21="","",SUMIF(RRE!$J$13:$J$15,OFÍCIO!$I21,RRE!$L$13:$L$15))</f>
        <v/>
      </c>
      <c r="K21" s="601" t="str">
        <f ca="1">IF(J21="","",SUMIF(RRE!$J$13:$J$15,OFÍCIO!$I21,RRE!$N$13:$N$15))</f>
        <v/>
      </c>
      <c r="L21" s="602" t="str">
        <f ca="1">IF(K21="","",SUMIF(RRE!$J$13:$J$15,OFÍCIO!$I21,RRE!$O$13:$O$15))</f>
        <v/>
      </c>
    </row>
    <row r="22" spans="2:12" x14ac:dyDescent="0.2">
      <c r="B22" s="105" t="str">
        <f>IF(B11="GIGOV","Senhor Gerente","Senhor Superintendente")</f>
        <v>Senhor Gerente</v>
      </c>
      <c r="D22" s="66"/>
      <c r="E22" s="66"/>
      <c r="F22" s="66"/>
      <c r="G22" s="66"/>
      <c r="I22" s="600" t="str">
        <f ca="1">IF(ROW(I22)-ROW(L$5)&gt;MAX(RRE!$V$13:$V$15),"",INDEX(RRE!$J$13:$J$15,MATCH(ROW(I22)-ROW(I$5),RRE!$V$13:$V$15,0)))</f>
        <v/>
      </c>
      <c r="J22" s="601" t="str">
        <f ca="1">IF(I22="","",SUMIF(RRE!$J$13:$J$15,OFÍCIO!$I22,RRE!$L$13:$L$15))</f>
        <v/>
      </c>
      <c r="K22" s="601" t="str">
        <f ca="1">IF(J22="","",SUMIF(RRE!$J$13:$J$15,OFÍCIO!$I22,RRE!$N$13:$N$15))</f>
        <v/>
      </c>
      <c r="L22" s="602" t="str">
        <f ca="1">IF(K22="","",SUMIF(RRE!$J$13:$J$15,OFÍCIO!$I22,RRE!$O$13:$O$15))</f>
        <v/>
      </c>
    </row>
    <row r="23" spans="2:12" x14ac:dyDescent="0.2">
      <c r="B23" s="66"/>
      <c r="C23" s="66"/>
      <c r="D23" s="66"/>
      <c r="E23" s="66"/>
      <c r="F23" s="66"/>
      <c r="G23" s="66"/>
      <c r="I23" s="600" t="str">
        <f ca="1">IF(ROW(I23)-ROW(L$5)&gt;MAX(RRE!$V$13:$V$15),"",INDEX(RRE!$J$13:$J$15,MATCH(ROW(I23)-ROW(I$5),RRE!$V$13:$V$15,0)))</f>
        <v/>
      </c>
      <c r="J23" s="601" t="str">
        <f ca="1">IF(I23="","",SUMIF(RRE!$J$13:$J$15,OFÍCIO!$I23,RRE!$L$13:$L$15))</f>
        <v/>
      </c>
      <c r="K23" s="601" t="str">
        <f ca="1">IF(J23="","",SUMIF(RRE!$J$13:$J$15,OFÍCIO!$I23,RRE!$N$13:$N$15))</f>
        <v/>
      </c>
      <c r="L23" s="602" t="str">
        <f ca="1">IF(K23="","",SUMIF(RRE!$J$13:$J$15,OFÍCIO!$I23,RRE!$O$13:$O$15))</f>
        <v/>
      </c>
    </row>
    <row r="24" spans="2:12" ht="12.75" customHeight="1" x14ac:dyDescent="0.2">
      <c r="B24" s="822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822"/>
      <c r="D24" s="822"/>
      <c r="E24" s="822"/>
      <c r="F24" s="822"/>
      <c r="G24" s="822"/>
      <c r="I24" s="600" t="str">
        <f ca="1">IF(ROW(I24)-ROW(L$5)&gt;MAX(RRE!$V$13:$V$15),"",INDEX(RRE!$J$13:$J$15,MATCH(ROW(I24)-ROW(I$5),RRE!$V$13:$V$15,0)))</f>
        <v/>
      </c>
      <c r="J24" s="601" t="str">
        <f ca="1">IF(I24="","",SUMIF(RRE!$J$13:$J$15,OFÍCIO!$I24,RRE!$L$13:$L$15))</f>
        <v/>
      </c>
      <c r="K24" s="601" t="str">
        <f ca="1">IF(J24="","",SUMIF(RRE!$J$13:$J$15,OFÍCIO!$I24,RRE!$N$13:$N$15))</f>
        <v/>
      </c>
      <c r="L24" s="602" t="str">
        <f ca="1">IF(K24="","",SUMIF(RRE!$J$13:$J$15,OFÍCIO!$I24,RRE!$O$13:$O$15))</f>
        <v/>
      </c>
    </row>
    <row r="25" spans="2:12" x14ac:dyDescent="0.2">
      <c r="B25" s="822"/>
      <c r="C25" s="822"/>
      <c r="D25" s="822"/>
      <c r="E25" s="822"/>
      <c r="F25" s="822"/>
      <c r="G25" s="822"/>
      <c r="I25" s="600" t="str">
        <f ca="1">IF(ROW(I25)-ROW(L$5)&gt;MAX(RRE!$V$13:$V$15),"",INDEX(RRE!$J$13:$J$15,MATCH(ROW(I25)-ROW(I$5),RRE!$V$13:$V$15,0)))</f>
        <v/>
      </c>
      <c r="J25" s="601" t="str">
        <f ca="1">IF(I25="","",SUMIF(RRE!$J$13:$J$15,OFÍCIO!$I25,RRE!$L$13:$L$15))</f>
        <v/>
      </c>
      <c r="K25" s="601" t="str">
        <f ca="1">IF(J25="","",SUMIF(RRE!$J$13:$J$15,OFÍCIO!$I25,RRE!$N$13:$N$15))</f>
        <v/>
      </c>
      <c r="L25" s="602" t="str">
        <f ca="1">IF(K25="","",SUMIF(RRE!$J$13:$J$15,OFÍCIO!$I25,RRE!$O$13:$O$15))</f>
        <v/>
      </c>
    </row>
    <row r="26" spans="2:12" x14ac:dyDescent="0.2">
      <c r="B26" s="822"/>
      <c r="C26" s="822"/>
      <c r="D26" s="822"/>
      <c r="E26" s="822"/>
      <c r="F26" s="822"/>
      <c r="G26" s="822"/>
      <c r="I26" s="600" t="str">
        <f ca="1">IF(ROW(I26)-ROW(L$5)&gt;MAX(RRE!$V$13:$V$15),"",INDEX(RRE!$J$13:$J$15,MATCH(ROW(I26)-ROW(I$5),RRE!$V$13:$V$15,0)))</f>
        <v/>
      </c>
      <c r="J26" s="601" t="str">
        <f ca="1">IF(I26="","",SUMIF(RRE!$J$13:$J$15,OFÍCIO!$I26,RRE!$L$13:$L$15))</f>
        <v/>
      </c>
      <c r="K26" s="601" t="str">
        <f ca="1">IF(J26="","",SUMIF(RRE!$J$13:$J$15,OFÍCIO!$I26,RRE!$N$13:$N$15))</f>
        <v/>
      </c>
      <c r="L26" s="602" t="str">
        <f ca="1">IF(K26="","",SUMIF(RRE!$J$13:$J$15,OFÍCIO!$I26,RRE!$O$13:$O$15))</f>
        <v/>
      </c>
    </row>
    <row r="27" spans="2:12" x14ac:dyDescent="0.2">
      <c r="B27" s="66"/>
      <c r="C27" s="66"/>
      <c r="D27" s="66"/>
      <c r="E27" s="66"/>
      <c r="F27" s="66"/>
      <c r="G27" s="66"/>
      <c r="I27" s="600" t="str">
        <f ca="1">IF(ROW(I27)-ROW(L$5)&gt;MAX(RRE!$V$13:$V$15),"",INDEX(RRE!$J$13:$J$15,MATCH(ROW(I27)-ROW(I$5),RRE!$V$13:$V$15,0)))</f>
        <v/>
      </c>
      <c r="J27" s="601" t="str">
        <f ca="1">IF(I27="","",SUMIF(RRE!$J$13:$J$15,OFÍCIO!$I27,RRE!$L$13:$L$15))</f>
        <v/>
      </c>
      <c r="K27" s="601" t="str">
        <f ca="1">IF(J27="","",SUMIF(RRE!$J$13:$J$15,OFÍCIO!$I27,RRE!$N$13:$N$15))</f>
        <v/>
      </c>
      <c r="L27" s="602" t="str">
        <f ca="1">IF(K27="","",SUMIF(RRE!$J$13:$J$15,OFÍCIO!$I27,RRE!$O$13:$O$15))</f>
        <v/>
      </c>
    </row>
    <row r="28" spans="2:12" ht="12.75" customHeight="1" x14ac:dyDescent="0.2">
      <c r="B28" s="823"/>
      <c r="C28" s="823"/>
      <c r="D28" s="830" t="s">
        <v>395</v>
      </c>
      <c r="E28" s="830" t="str">
        <f ca="1">"Evolução da "&amp;RRE.Numero&amp;"ª Medição"</f>
        <v>Evolução da 1ª Medição</v>
      </c>
      <c r="F28" s="831" t="s">
        <v>396</v>
      </c>
      <c r="G28" s="831"/>
      <c r="I28" s="600" t="str">
        <f ca="1">IF(ROW(I28)-ROW(L$5)&gt;MAX(RRE!$V$13:$V$15),"",INDEX(RRE!$J$13:$J$15,MATCH(ROW(I28)-ROW(I$5),RRE!$V$13:$V$15,0)))</f>
        <v/>
      </c>
      <c r="J28" s="601" t="str">
        <f ca="1">IF(I28="","",SUMIF(RRE!$J$13:$J$15,OFÍCIO!$I28,RRE!$L$13:$L$15))</f>
        <v/>
      </c>
      <c r="K28" s="601" t="str">
        <f ca="1">IF(J28="","",SUMIF(RRE!$J$13:$J$15,OFÍCIO!$I28,RRE!$N$13:$N$15))</f>
        <v/>
      </c>
      <c r="L28" s="602" t="str">
        <f ca="1">IF(K28="","",SUMIF(RRE!$J$13:$J$15,OFÍCIO!$I28,RRE!$O$13:$O$15))</f>
        <v/>
      </c>
    </row>
    <row r="29" spans="2:12" x14ac:dyDescent="0.2">
      <c r="B29" s="823"/>
      <c r="C29" s="823"/>
      <c r="D29" s="830"/>
      <c r="E29" s="830"/>
      <c r="F29" s="831"/>
      <c r="G29" s="831"/>
      <c r="I29" s="600" t="str">
        <f ca="1">IF(ROW(I29)-ROW(L$5)&gt;MAX(RRE!$V$13:$V$15),"",INDEX(RRE!$J$13:$J$15,MATCH(ROW(I29)-ROW(I$5),RRE!$V$13:$V$15,0)))</f>
        <v/>
      </c>
      <c r="J29" s="601" t="str">
        <f ca="1">IF(I29="","",SUMIF(RRE!$J$13:$J$15,OFÍCIO!$I29,RRE!$L$13:$L$15))</f>
        <v/>
      </c>
      <c r="K29" s="601" t="str">
        <f ca="1">IF(J29="","",SUMIF(RRE!$J$13:$J$15,OFÍCIO!$I29,RRE!$N$13:$N$15))</f>
        <v/>
      </c>
      <c r="L29" s="602" t="str">
        <f ca="1">IF(K29="","",SUMIF(RRE!$J$13:$J$15,OFÍCIO!$I29,RRE!$O$13:$O$15))</f>
        <v/>
      </c>
    </row>
    <row r="30" spans="2:12" x14ac:dyDescent="0.2">
      <c r="B30" s="817" t="str">
        <f>IF(import.recurso="FGTS","Financiamento:","Repasse:")</f>
        <v>Repasse:</v>
      </c>
      <c r="C30" s="817"/>
      <c r="D30" s="521">
        <f ca="1">RRE!L16</f>
        <v>0</v>
      </c>
      <c r="E30" s="521">
        <f ca="1">RRE!N16</f>
        <v>0</v>
      </c>
      <c r="F30" s="818">
        <f ca="1">RRE!O16</f>
        <v>0</v>
      </c>
      <c r="G30" s="818"/>
      <c r="I30" s="600" t="str">
        <f ca="1">IF(ROW(I30)-ROW(L$5)&gt;MAX(RRE!$V$13:$V$15),"",INDEX(RRE!$J$13:$J$15,MATCH(ROW(I30)-ROW(I$5),RRE!$V$13:$V$15,0)))</f>
        <v/>
      </c>
      <c r="J30" s="601" t="str">
        <f ca="1">IF(I30="","",SUMIF(RRE!$J$13:$J$15,OFÍCIO!$I30,RRE!$L$13:$L$15))</f>
        <v/>
      </c>
      <c r="K30" s="601" t="str">
        <f ca="1">IF(J30="","",SUMIF(RRE!$J$13:$J$15,OFÍCIO!$I30,RRE!$N$13:$N$15))</f>
        <v/>
      </c>
      <c r="L30" s="602" t="str">
        <f ca="1">IF(K30="","",SUMIF(RRE!$J$13:$J$15,OFÍCIO!$I30,RRE!$O$13:$O$15))</f>
        <v/>
      </c>
    </row>
    <row r="31" spans="2:12" x14ac:dyDescent="0.2">
      <c r="B31" s="817" t="s">
        <v>397</v>
      </c>
      <c r="C31" s="817"/>
      <c r="D31" s="521">
        <f ca="1">RRE!L17</f>
        <v>0</v>
      </c>
      <c r="E31" s="521">
        <f ca="1">RRE!N17</f>
        <v>0</v>
      </c>
      <c r="F31" s="818">
        <f ca="1">RRE!O17</f>
        <v>0</v>
      </c>
      <c r="G31" s="818"/>
      <c r="I31" s="600" t="str">
        <f ca="1">IF(ROW(I31)-ROW(L$5)&gt;MAX(RRE!$V$13:$V$15),"",INDEX(RRE!$J$13:$J$15,MATCH(ROW(I31)-ROW(I$5),RRE!$V$13:$V$15,0)))</f>
        <v/>
      </c>
      <c r="J31" s="601" t="str">
        <f ca="1">IF(I31="","",SUMIF(RRE!$J$13:$J$15,OFÍCIO!$I31,RRE!$L$13:$L$15))</f>
        <v/>
      </c>
      <c r="K31" s="601" t="str">
        <f ca="1">IF(J31="","",SUMIF(RRE!$J$13:$J$15,OFÍCIO!$I31,RRE!$N$13:$N$15))</f>
        <v/>
      </c>
      <c r="L31" s="602" t="str">
        <f ca="1">IF(K31="","",SUMIF(RRE!$J$13:$J$15,OFÍCIO!$I31,RRE!$O$13:$O$15))</f>
        <v/>
      </c>
    </row>
    <row r="32" spans="2:12" x14ac:dyDescent="0.2">
      <c r="B32" s="817" t="s">
        <v>285</v>
      </c>
      <c r="C32" s="817"/>
      <c r="D32" s="521">
        <f ca="1">RRE!L18</f>
        <v>0</v>
      </c>
      <c r="E32" s="521">
        <f ca="1">RRE!N18</f>
        <v>0</v>
      </c>
      <c r="F32" s="818">
        <f ca="1">RRE!O18</f>
        <v>0</v>
      </c>
      <c r="G32" s="818"/>
      <c r="I32" s="600" t="str">
        <f ca="1">IF(ROW(I32)-ROW(L$5)&gt;MAX(RRE!$V$13:$V$15),"",INDEX(RRE!$J$13:$J$15,MATCH(ROW(I32)-ROW(I$5),RRE!$V$13:$V$15,0)))</f>
        <v/>
      </c>
      <c r="J32" s="601" t="str">
        <f ca="1">IF(I32="","",SUMIF(RRE!$J$13:$J$15,OFÍCIO!$I32,RRE!$L$13:$L$15))</f>
        <v/>
      </c>
      <c r="K32" s="601" t="str">
        <f ca="1">IF(J32="","",SUMIF(RRE!$J$13:$J$15,OFÍCIO!$I32,RRE!$N$13:$N$15))</f>
        <v/>
      </c>
      <c r="L32" s="602" t="str">
        <f ca="1">IF(K32="","",SUMIF(RRE!$J$13:$J$15,OFÍCIO!$I32,RRE!$O$13:$O$15))</f>
        <v/>
      </c>
    </row>
    <row r="33" spans="2:12" x14ac:dyDescent="0.2">
      <c r="B33" s="817" t="s">
        <v>286</v>
      </c>
      <c r="C33" s="817"/>
      <c r="D33" s="521">
        <f ca="1">RRE!L19</f>
        <v>0</v>
      </c>
      <c r="E33" s="521">
        <f ca="1">RRE!N19</f>
        <v>0</v>
      </c>
      <c r="F33" s="818">
        <f ca="1">RRE!O19</f>
        <v>0</v>
      </c>
      <c r="G33" s="818"/>
      <c r="I33" s="600" t="str">
        <f ca="1">IF(ROW(I33)-ROW(L$5)&gt;MAX(RRE!$V$13:$V$15),"",INDEX(RRE!$J$13:$J$15,MATCH(ROW(I33)-ROW(I$5),RRE!$V$13:$V$15,0)))</f>
        <v/>
      </c>
      <c r="J33" s="601" t="str">
        <f ca="1">IF(I33="","",SUMIF(RRE!$J$13:$J$15,OFÍCIO!$I33,RRE!$L$13:$L$15))</f>
        <v/>
      </c>
      <c r="K33" s="601" t="str">
        <f ca="1">IF(J33="","",SUMIF(RRE!$J$13:$J$15,OFÍCIO!$I33,RRE!$N$13:$N$15))</f>
        <v/>
      </c>
      <c r="L33" s="602" t="str">
        <f ca="1">IF(K33="","",SUMIF(RRE!$J$13:$J$15,OFÍCIO!$I33,RRE!$O$13:$O$15))</f>
        <v/>
      </c>
    </row>
    <row r="34" spans="2:12" x14ac:dyDescent="0.2">
      <c r="B34" s="819" t="s">
        <v>398</v>
      </c>
      <c r="C34" s="819"/>
      <c r="D34" s="522" t="s">
        <v>166</v>
      </c>
      <c r="E34" s="523">
        <f ca="1">RRE!$N$19/(RRE!$L$19+10^-12)</f>
        <v>0</v>
      </c>
      <c r="F34" s="820">
        <f ca="1">RRE!P15</f>
        <v>0</v>
      </c>
      <c r="G34" s="820"/>
      <c r="I34" s="600" t="str">
        <f ca="1">IF(ROW(I34)-ROW(L$5)&gt;MAX(RRE!$V$13:$V$15),"",INDEX(RRE!$J$13:$J$15,MATCH(ROW(I34)-ROW(I$5),RRE!$V$13:$V$15,0)))</f>
        <v/>
      </c>
      <c r="J34" s="601" t="str">
        <f ca="1">IF(I34="","",SUMIF(RRE!$J$13:$J$15,OFÍCIO!$I34,RRE!$L$13:$L$15))</f>
        <v/>
      </c>
      <c r="K34" s="601" t="str">
        <f ca="1">IF(J34="","",SUMIF(RRE!$J$13:$J$15,OFÍCIO!$I34,RRE!$N$13:$N$15))</f>
        <v/>
      </c>
      <c r="L34" s="602" t="str">
        <f ca="1">IF(K34="","",SUMIF(RRE!$J$13:$J$15,OFÍCIO!$I34,RRE!$O$13:$O$15))</f>
        <v/>
      </c>
    </row>
    <row r="35" spans="2:12" x14ac:dyDescent="0.2">
      <c r="B35" s="230"/>
      <c r="C35" s="66"/>
      <c r="D35" s="66"/>
      <c r="E35" s="66"/>
      <c r="F35" s="66"/>
      <c r="G35" s="66"/>
      <c r="I35" s="600" t="str">
        <f ca="1">IF(ROW(I35)-ROW(L$5)&gt;MAX(RRE!$V$13:$V$15),"",INDEX(RRE!$J$13:$J$15,MATCH(ROW(I35)-ROW(I$5),RRE!$V$13:$V$15,0)))</f>
        <v/>
      </c>
      <c r="J35" s="601" t="str">
        <f ca="1">IF(I35="","",SUMIF(RRE!$J$13:$J$15,OFÍCIO!$I35,RRE!$L$13:$L$15))</f>
        <v/>
      </c>
      <c r="K35" s="601" t="str">
        <f ca="1">IF(J35="","",SUMIF(RRE!$J$13:$J$15,OFÍCIO!$I35,RRE!$N$13:$N$15))</f>
        <v/>
      </c>
      <c r="L35" s="602" t="str">
        <f ca="1">IF(K35="","",SUMIF(RRE!$J$13:$J$15,OFÍCIO!$I35,RRE!$O$13:$O$15))</f>
        <v/>
      </c>
    </row>
    <row r="36" spans="2:12" x14ac:dyDescent="0.2">
      <c r="B36" s="230"/>
      <c r="C36" s="230"/>
      <c r="D36" s="230"/>
      <c r="E36" s="230"/>
      <c r="F36" s="230"/>
      <c r="G36" s="66"/>
      <c r="I36" s="600" t="str">
        <f ca="1">IF(ROW(I36)-ROW(L$5)&gt;MAX(RRE!$V$13:$V$15),"",INDEX(RRE!$J$13:$J$15,MATCH(ROW(I36)-ROW(I$5),RRE!$V$13:$V$15,0)))</f>
        <v/>
      </c>
      <c r="J36" s="601" t="str">
        <f ca="1">IF(I36="","",SUMIF(RRE!$J$13:$J$15,OFÍCIO!$I36,RRE!$L$13:$L$15))</f>
        <v/>
      </c>
      <c r="K36" s="601" t="str">
        <f ca="1">IF(J36="","",SUMIF(RRE!$J$13:$J$15,OFÍCIO!$I36,RRE!$N$13:$N$15))</f>
        <v/>
      </c>
      <c r="L36" s="602" t="str">
        <f ca="1">IF(K36="","",SUMIF(RRE!$J$13:$J$15,OFÍCIO!$I36,RRE!$O$13:$O$15))</f>
        <v/>
      </c>
    </row>
    <row r="37" spans="2:12" x14ac:dyDescent="0.2">
      <c r="B37" s="821" t="str">
        <f ca="1">IF(RRE.Numero&gt;1,"2. Encaminhamos ainda a documentação relativa à prestação de contas da etapa físico-financeira anterior.","")</f>
        <v/>
      </c>
      <c r="C37" s="821"/>
      <c r="D37" s="821"/>
      <c r="E37" s="821"/>
      <c r="F37" s="821"/>
      <c r="G37" s="821"/>
      <c r="I37" s="600" t="str">
        <f ca="1">IF(ROW(I37)-ROW(L$5)&gt;MAX(RRE!$V$13:$V$15),"",INDEX(RRE!$J$13:$J$15,MATCH(ROW(I37)-ROW(I$5),RRE!$V$13:$V$15,0)))</f>
        <v/>
      </c>
      <c r="J37" s="601" t="str">
        <f ca="1">IF(I37="","",SUMIF(RRE!$J$13:$J$15,OFÍCIO!$I37,RRE!$L$13:$L$15))</f>
        <v/>
      </c>
      <c r="K37" s="601" t="str">
        <f ca="1">IF(J37="","",SUMIF(RRE!$J$13:$J$15,OFÍCIO!$I37,RRE!$N$13:$N$15))</f>
        <v/>
      </c>
      <c r="L37" s="602" t="str">
        <f ca="1">IF(K37="","",SUMIF(RRE!$J$13:$J$15,OFÍCIO!$I37,RRE!$O$13:$O$15))</f>
        <v/>
      </c>
    </row>
    <row r="38" spans="2:12" x14ac:dyDescent="0.2">
      <c r="B38" s="821"/>
      <c r="C38" s="821"/>
      <c r="D38" s="821"/>
      <c r="E38" s="821"/>
      <c r="F38" s="821"/>
      <c r="G38" s="821"/>
      <c r="I38" s="600" t="str">
        <f ca="1">IF(ROW(I38)-ROW(L$5)&gt;MAX(RRE!$V$13:$V$15),"",INDEX(RRE!$J$13:$J$15,MATCH(ROW(I38)-ROW(I$5),RRE!$V$13:$V$15,0)))</f>
        <v/>
      </c>
      <c r="J38" s="601" t="str">
        <f ca="1">IF(I38="","",SUMIF(RRE!$J$13:$J$15,OFÍCIO!$I38,RRE!$L$13:$L$15))</f>
        <v/>
      </c>
      <c r="K38" s="601" t="str">
        <f ca="1">IF(J38="","",SUMIF(RRE!$J$13:$J$15,OFÍCIO!$I38,RRE!$N$13:$N$15))</f>
        <v/>
      </c>
      <c r="L38" s="602" t="str">
        <f ca="1">IF(K38="","",SUMIF(RRE!$J$13:$J$15,OFÍCIO!$I38,RRE!$O$13:$O$15))</f>
        <v/>
      </c>
    </row>
    <row r="39" spans="2:12" ht="12.75" customHeight="1" x14ac:dyDescent="0.2">
      <c r="B39" s="821" t="str">
        <f ca="1">IF(AND(RRE.Numero&gt;1,NOT(ISBLANK(Import.TransfereGOV))),"3. Na oportunidade, informamos que a execução financeira da parcela anterior está devidamente comprovada no TransfereGOV.","")</f>
        <v/>
      </c>
      <c r="C39" s="821"/>
      <c r="D39" s="821"/>
      <c r="E39" s="821"/>
      <c r="F39" s="821"/>
      <c r="G39" s="821"/>
      <c r="I39" s="600" t="str">
        <f ca="1">IF(ROW(I39)-ROW(L$5)&gt;MAX(RRE!$V$13:$V$15),"",INDEX(RRE!$J$13:$J$15,MATCH(ROW(I39)-ROW(I$5),RRE!$V$13:$V$15,0)))</f>
        <v/>
      </c>
      <c r="J39" s="601" t="str">
        <f ca="1">IF(I39="","",SUMIF(RRE!$J$13:$J$15,OFÍCIO!$I39,RRE!$L$13:$L$15))</f>
        <v/>
      </c>
      <c r="K39" s="601" t="str">
        <f ca="1">IF(J39="","",SUMIF(RRE!$J$13:$J$15,OFÍCIO!$I39,RRE!$N$13:$N$15))</f>
        <v/>
      </c>
      <c r="L39" s="602" t="str">
        <f ca="1">IF(K39="","",SUMIF(RRE!$J$13:$J$15,OFÍCIO!$I39,RRE!$O$13:$O$15))</f>
        <v/>
      </c>
    </row>
    <row r="40" spans="2:12" x14ac:dyDescent="0.2">
      <c r="B40" s="821"/>
      <c r="C40" s="821"/>
      <c r="D40" s="821"/>
      <c r="E40" s="821"/>
      <c r="F40" s="821"/>
      <c r="G40" s="821"/>
      <c r="I40" s="600" t="str">
        <f ca="1">IF(ROW(I40)-ROW(L$5)&gt;MAX(RRE!$V$13:$V$15),"",INDEX(RRE!$J$13:$J$15,MATCH(ROW(I40)-ROW(I$5),RRE!$V$13:$V$15,0)))</f>
        <v/>
      </c>
      <c r="J40" s="601" t="str">
        <f ca="1">IF(I40="","",SUMIF(RRE!$J$13:$J$15,OFÍCIO!$I40,RRE!$L$13:$L$15))</f>
        <v/>
      </c>
      <c r="K40" s="601" t="str">
        <f ca="1">IF(J40="","",SUMIF(RRE!$J$13:$J$15,OFÍCIO!$I40,RRE!$N$13:$N$15))</f>
        <v/>
      </c>
      <c r="L40" s="602" t="str">
        <f ca="1">IF(K40="","",SUMIF(RRE!$J$13:$J$15,OFÍCIO!$I40,RRE!$O$13:$O$15))</f>
        <v/>
      </c>
    </row>
    <row r="41" spans="2:12" x14ac:dyDescent="0.2">
      <c r="B41" s="524"/>
      <c r="C41" s="518"/>
      <c r="D41" s="518"/>
      <c r="E41" s="518"/>
      <c r="F41" s="518"/>
      <c r="G41" s="518"/>
      <c r="I41" s="600" t="str">
        <f ca="1">IF(ROW(I41)-ROW(L$5)&gt;MAX(RRE!$V$13:$V$15),"",INDEX(RRE!$J$13:$J$15,MATCH(ROW(I41)-ROW(I$5),RRE!$V$13:$V$15,0)))</f>
        <v/>
      </c>
      <c r="J41" s="601" t="str">
        <f ca="1">IF(I41="","",SUMIF(RRE!$J$13:$J$15,OFÍCIO!$I41,RRE!$L$13:$L$15))</f>
        <v/>
      </c>
      <c r="K41" s="601" t="str">
        <f ca="1">IF(J41="","",SUMIF(RRE!$J$13:$J$15,OFÍCIO!$I41,RRE!$N$13:$N$15))</f>
        <v/>
      </c>
      <c r="L41" s="602" t="str">
        <f ca="1">IF(K41="","",SUMIF(RRE!$J$13:$J$15,OFÍCIO!$I41,RRE!$O$13:$O$15))</f>
        <v/>
      </c>
    </row>
    <row r="42" spans="2:12" ht="12.75" customHeight="1" x14ac:dyDescent="0.2">
      <c r="B42" s="821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821"/>
      <c r="D42" s="821"/>
      <c r="E42" s="821"/>
      <c r="F42" s="821"/>
      <c r="G42" s="821"/>
      <c r="I42" s="600" t="str">
        <f ca="1">IF(ROW(I42)-ROW(L$5)&gt;MAX(RRE!$V$13:$V$15),"",INDEX(RRE!$J$13:$J$15,MATCH(ROW(I42)-ROW(I$5),RRE!$V$13:$V$15,0)))</f>
        <v/>
      </c>
      <c r="J42" s="601" t="str">
        <f ca="1">IF(I42="","",SUMIF(RRE!$J$13:$J$15,OFÍCIO!$I42,RRE!$L$13:$L$15))</f>
        <v/>
      </c>
      <c r="K42" s="601" t="str">
        <f ca="1">IF(J42="","",SUMIF(RRE!$J$13:$J$15,OFÍCIO!$I42,RRE!$N$13:$N$15))</f>
        <v/>
      </c>
      <c r="L42" s="602" t="str">
        <f ca="1">IF(K42="","",SUMIF(RRE!$J$13:$J$15,OFÍCIO!$I42,RRE!$O$13:$O$15))</f>
        <v/>
      </c>
    </row>
    <row r="43" spans="2:12" x14ac:dyDescent="0.2">
      <c r="B43" s="821"/>
      <c r="C43" s="821"/>
      <c r="D43" s="821"/>
      <c r="E43" s="821"/>
      <c r="F43" s="821"/>
      <c r="G43" s="821"/>
      <c r="I43" s="600" t="str">
        <f ca="1">IF(ROW(I43)-ROW(L$5)&gt;MAX(RRE!$V$13:$V$15),"",INDEX(RRE!$J$13:$J$15,MATCH(ROW(I43)-ROW(I$5),RRE!$V$13:$V$15,0)))</f>
        <v/>
      </c>
      <c r="J43" s="601" t="str">
        <f ca="1">IF(I43="","",SUMIF(RRE!$J$13:$J$15,OFÍCIO!$I43,RRE!$L$13:$L$15))</f>
        <v/>
      </c>
      <c r="K43" s="601" t="str">
        <f ca="1">IF(J43="","",SUMIF(RRE!$J$13:$J$15,OFÍCIO!$I43,RRE!$N$13:$N$15))</f>
        <v/>
      </c>
      <c r="L43" s="602" t="str">
        <f ca="1">IF(K43="","",SUMIF(RRE!$J$13:$J$15,OFÍCIO!$I43,RRE!$O$13:$O$15))</f>
        <v/>
      </c>
    </row>
    <row r="44" spans="2:12" x14ac:dyDescent="0.2">
      <c r="B44" s="821"/>
      <c r="C44" s="821"/>
      <c r="D44" s="821"/>
      <c r="E44" s="821"/>
      <c r="F44" s="821"/>
      <c r="G44" s="821"/>
      <c r="I44" s="600" t="str">
        <f ca="1">IF(ROW(I44)-ROW(L$5)&gt;MAX(RRE!$V$13:$V$15),"",INDEX(RRE!$J$13:$J$15,MATCH(ROW(I44)-ROW(I$5),RRE!$V$13:$V$15,0)))</f>
        <v/>
      </c>
      <c r="J44" s="601" t="str">
        <f ca="1">IF(I44="","",SUMIF(RRE!$J$13:$J$15,OFÍCIO!$I44,RRE!$L$13:$L$15))</f>
        <v/>
      </c>
      <c r="K44" s="601" t="str">
        <f ca="1">IF(J44="","",SUMIF(RRE!$J$13:$J$15,OFÍCIO!$I44,RRE!$N$13:$N$15))</f>
        <v/>
      </c>
      <c r="L44" s="602" t="str">
        <f ca="1">IF(K44="","",SUMIF(RRE!$J$13:$J$15,OFÍCIO!$I44,RRE!$O$13:$O$15))</f>
        <v/>
      </c>
    </row>
    <row r="45" spans="2:12" x14ac:dyDescent="0.2">
      <c r="B45" s="821"/>
      <c r="C45" s="821"/>
      <c r="D45" s="821"/>
      <c r="E45" s="821"/>
      <c r="F45" s="821"/>
      <c r="G45" s="821"/>
      <c r="I45" s="600" t="str">
        <f ca="1">IF(ROW(I45)-ROW(L$5)&gt;MAX(RRE!$V$13:$V$15),"",INDEX(RRE!$J$13:$J$15,MATCH(ROW(I45)-ROW(I$5),RRE!$V$13:$V$15,0)))</f>
        <v/>
      </c>
      <c r="J45" s="601" t="str">
        <f ca="1">IF(I45="","",SUMIF(RRE!$J$13:$J$15,OFÍCIO!$I45,RRE!$L$13:$L$15))</f>
        <v/>
      </c>
      <c r="K45" s="601" t="str">
        <f ca="1">IF(J45="","",SUMIF(RRE!$J$13:$J$15,OFÍCIO!$I45,RRE!$N$13:$N$15))</f>
        <v/>
      </c>
      <c r="L45" s="602" t="str">
        <f ca="1">IF(K45="","",SUMIF(RRE!$J$13:$J$15,OFÍCIO!$I45,RRE!$O$13:$O$15))</f>
        <v/>
      </c>
    </row>
    <row r="46" spans="2:12" ht="13.5" thickBot="1" x14ac:dyDescent="0.25">
      <c r="B46" s="821"/>
      <c r="C46" s="821"/>
      <c r="D46" s="821"/>
      <c r="E46" s="821"/>
      <c r="F46" s="821"/>
      <c r="G46" s="821"/>
      <c r="I46" s="603" t="str">
        <f ca="1">IF(ROW(I46)-ROW(L$5)&gt;MAX(RRE!$V$13:$V$15),"",INDEX(RRE!$J$13:$J$15,MATCH(ROW(I46)-ROW(I$5),RRE!$V$13:$V$15,0)))</f>
        <v/>
      </c>
      <c r="J46" s="604" t="str">
        <f ca="1">IF(I46="","",SUMIF(RRE!$J$13:$J$15,OFÍCIO!$I46,RRE!$L$13:$L$15))</f>
        <v/>
      </c>
      <c r="K46" s="604" t="str">
        <f ca="1">IF(J46="","",SUMIF(RRE!$J$13:$J$15,OFÍCIO!$I46,RRE!$N$13:$N$15))</f>
        <v/>
      </c>
      <c r="L46" s="605" t="str">
        <f ca="1">IF(K46="","",SUMIF(RRE!$J$13:$J$15,OFÍCIO!$I46,RRE!$O$13:$O$15))</f>
        <v/>
      </c>
    </row>
    <row r="47" spans="2:12" x14ac:dyDescent="0.2">
      <c r="B47" s="16"/>
      <c r="C47" s="16"/>
      <c r="D47" s="16"/>
      <c r="E47" s="16"/>
      <c r="F47" s="16"/>
      <c r="G47" s="362"/>
    </row>
    <row r="48" spans="2:12" x14ac:dyDescent="0.2">
      <c r="B48" s="16"/>
      <c r="C48" s="16"/>
      <c r="D48" s="16"/>
      <c r="E48" s="16"/>
      <c r="F48" s="16"/>
      <c r="G48" s="362"/>
    </row>
    <row r="49" spans="2:7" x14ac:dyDescent="0.2">
      <c r="B49" s="66" t="s">
        <v>399</v>
      </c>
      <c r="C49" s="16"/>
      <c r="D49" s="16"/>
      <c r="E49" s="16"/>
      <c r="F49" s="16"/>
      <c r="G49" s="362"/>
    </row>
    <row r="50" spans="2:7" x14ac:dyDescent="0.2">
      <c r="B50" s="362"/>
      <c r="C50" s="362"/>
      <c r="D50" s="362"/>
      <c r="E50" s="362"/>
      <c r="F50" s="362"/>
      <c r="G50" s="362"/>
    </row>
    <row r="51" spans="2:7" x14ac:dyDescent="0.2">
      <c r="B51" s="510"/>
      <c r="C51" s="66"/>
      <c r="D51" s="66"/>
      <c r="E51" s="66"/>
      <c r="F51" s="66"/>
      <c r="G51" s="66"/>
    </row>
    <row r="52" spans="2:7" x14ac:dyDescent="0.2">
      <c r="B52" s="66"/>
      <c r="C52" s="66"/>
      <c r="D52" s="66"/>
      <c r="E52" s="66"/>
      <c r="F52" s="66"/>
      <c r="G52" s="66"/>
    </row>
    <row r="53" spans="2:7" x14ac:dyDescent="0.2">
      <c r="B53" s="525"/>
      <c r="C53" s="525"/>
      <c r="D53" s="525"/>
      <c r="E53" s="526"/>
      <c r="F53" s="526"/>
      <c r="G53" s="526"/>
    </row>
    <row r="54" spans="2:7" x14ac:dyDescent="0.2">
      <c r="B54" s="815" t="str">
        <f>DADOS!$F$28</f>
        <v>MIGUEL PAULO SOUSA FILHO</v>
      </c>
      <c r="C54" s="815"/>
      <c r="D54" s="815"/>
      <c r="E54" s="815"/>
      <c r="F54" s="815"/>
      <c r="G54" s="815"/>
    </row>
    <row r="55" spans="2:7" x14ac:dyDescent="0.2">
      <c r="B55" s="815" t="str">
        <f>DADOS!$F$29</f>
        <v xml:space="preserve">PREFEITO MUNICIPAL </v>
      </c>
      <c r="C55" s="815"/>
      <c r="D55" s="815"/>
      <c r="E55" s="815"/>
      <c r="F55" s="815"/>
      <c r="G55" s="815"/>
    </row>
    <row r="56" spans="2:7" x14ac:dyDescent="0.2">
      <c r="B56" s="816"/>
      <c r="C56" s="816"/>
      <c r="D56" s="816"/>
      <c r="E56" s="816"/>
      <c r="F56" s="816"/>
      <c r="G56" s="816"/>
    </row>
  </sheetData>
  <sheetProtection algorithmName="SHA-512" hashValue="YjMpdP9dKpnIqsVwTsTIA5x706cY8tKJvN7tE5lyTjtIcQSlcjNYzn6xcO0VKi49G5iTMh9nnmrNB7ZnZ/SpZg==" saltValue="QTskv9jCpvOmE7LhXhCtgw==" spinCount="100000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1"/>
  <sheetViews>
    <sheetView showGridLines="0" zoomScale="90" zoomScaleNormal="90" workbookViewId="0">
      <pane ySplit="2" topLeftCell="A3" activePane="bottomLeft" state="frozen"/>
      <selection pane="bottomLeft" activeCell="AU11" sqref="AU11"/>
    </sheetView>
  </sheetViews>
  <sheetFormatPr defaultRowHeight="12.75" x14ac:dyDescent="0.2"/>
  <cols>
    <col min="5" max="5" width="42.7109375" style="8" customWidth="1"/>
    <col min="6" max="6" width="53.28515625" style="8" customWidth="1"/>
    <col min="10" max="10" width="14.28515625" hidden="1" customWidth="1"/>
    <col min="11" max="13" width="0" hidden="1" customWidth="1"/>
    <col min="14" max="14" width="0" style="9" hidden="1" customWidth="1"/>
    <col min="15" max="44" width="0" hidden="1" customWidth="1"/>
  </cols>
  <sheetData>
    <row r="1" spans="5:44" ht="15.75" customHeight="1" x14ac:dyDescent="0.2">
      <c r="E1" s="10" t="s">
        <v>5</v>
      </c>
      <c r="K1" s="11"/>
      <c r="L1" s="672" t="s">
        <v>6</v>
      </c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</row>
    <row r="2" spans="5:44" ht="12.75" customHeight="1" x14ac:dyDescent="0.2">
      <c r="E2" s="10"/>
      <c r="J2" s="12" t="s">
        <v>7</v>
      </c>
      <c r="K2" s="13" t="s">
        <v>8</v>
      </c>
      <c r="L2" s="14">
        <f>COUNTA(K:K)-1</f>
        <v>3</v>
      </c>
      <c r="M2" s="13" t="s">
        <v>9</v>
      </c>
      <c r="N2" s="14">
        <f>COUNTA(M:M)-1</f>
        <v>6</v>
      </c>
      <c r="O2" s="13" t="s">
        <v>10</v>
      </c>
      <c r="P2" s="14">
        <f>COUNTA(O:O)-1</f>
        <v>6</v>
      </c>
      <c r="Q2" s="13" t="s">
        <v>11</v>
      </c>
      <c r="R2" s="14">
        <f>COUNTA(Q:Q)-1</f>
        <v>6</v>
      </c>
      <c r="S2" s="13" t="s">
        <v>12</v>
      </c>
      <c r="T2" s="14">
        <f>COUNTA(S:S)-1</f>
        <v>11</v>
      </c>
      <c r="U2" s="13" t="s">
        <v>13</v>
      </c>
      <c r="V2" s="14">
        <f>COUNTA(U:U)-1</f>
        <v>8</v>
      </c>
      <c r="W2" s="13" t="s">
        <v>14</v>
      </c>
      <c r="X2" s="14">
        <f>COUNTA(W:W)-1</f>
        <v>4</v>
      </c>
      <c r="Y2" s="13" t="s">
        <v>15</v>
      </c>
      <c r="Z2" s="14">
        <f>COUNTA(Y:Y)-1</f>
        <v>6</v>
      </c>
      <c r="AA2" s="13" t="s">
        <v>16</v>
      </c>
      <c r="AB2" s="14">
        <f>COUNTA(AA:AA)-1</f>
        <v>2</v>
      </c>
      <c r="AC2" s="13" t="s">
        <v>17</v>
      </c>
      <c r="AD2" s="14">
        <f>COUNTA(AC:AC)-1</f>
        <v>2</v>
      </c>
      <c r="AE2" s="13" t="s">
        <v>18</v>
      </c>
      <c r="AF2" s="14">
        <f>COUNTA(AE:AE)-1</f>
        <v>2</v>
      </c>
      <c r="AG2" s="13" t="s">
        <v>19</v>
      </c>
      <c r="AH2" s="14">
        <f>COUNTA(AG:AG)-1</f>
        <v>1</v>
      </c>
      <c r="AI2" s="13" t="s">
        <v>20</v>
      </c>
      <c r="AJ2" s="14">
        <f>COUNTA(AI:AI)-1</f>
        <v>1</v>
      </c>
      <c r="AK2" s="13" t="s">
        <v>21</v>
      </c>
      <c r="AL2" s="14">
        <f>COUNTA(AK:AK)-1</f>
        <v>1</v>
      </c>
      <c r="AM2" s="13" t="s">
        <v>22</v>
      </c>
      <c r="AN2" s="14">
        <f>COUNTA(AM:AM)-1</f>
        <v>3</v>
      </c>
      <c r="AO2" s="13" t="s">
        <v>23</v>
      </c>
      <c r="AP2" s="14">
        <f>COUNTA(AO:AO)-1</f>
        <v>1</v>
      </c>
      <c r="AQ2" s="13" t="s">
        <v>24</v>
      </c>
      <c r="AR2" s="14">
        <f>COUNTA(AQ:AQ)-1</f>
        <v>4</v>
      </c>
    </row>
    <row r="3" spans="5:44" ht="15" x14ac:dyDescent="0.2">
      <c r="E3" s="671" t="s">
        <v>25</v>
      </c>
      <c r="F3" s="671"/>
      <c r="J3" s="15" t="s">
        <v>8</v>
      </c>
      <c r="K3" s="16" t="s">
        <v>26</v>
      </c>
      <c r="L3" s="17" t="s">
        <v>27</v>
      </c>
      <c r="M3" s="18" t="s">
        <v>28</v>
      </c>
      <c r="N3" s="17" t="s">
        <v>29</v>
      </c>
      <c r="O3" s="16" t="s">
        <v>30</v>
      </c>
      <c r="P3" s="17" t="s">
        <v>29</v>
      </c>
      <c r="Q3" s="19" t="s">
        <v>31</v>
      </c>
      <c r="R3" s="20" t="s">
        <v>32</v>
      </c>
      <c r="S3" s="16" t="s">
        <v>33</v>
      </c>
      <c r="T3" s="20" t="s">
        <v>34</v>
      </c>
      <c r="U3" s="19" t="s">
        <v>35</v>
      </c>
      <c r="V3" s="17" t="s">
        <v>27</v>
      </c>
      <c r="W3" s="16" t="s">
        <v>36</v>
      </c>
      <c r="X3" s="17" t="s">
        <v>27</v>
      </c>
      <c r="Y3" s="16" t="s">
        <v>37</v>
      </c>
      <c r="Z3" s="17" t="s">
        <v>27</v>
      </c>
      <c r="AA3" s="16" t="s">
        <v>38</v>
      </c>
      <c r="AB3" s="17" t="s">
        <v>29</v>
      </c>
      <c r="AC3" s="16" t="s">
        <v>39</v>
      </c>
      <c r="AD3" s="17" t="s">
        <v>29</v>
      </c>
      <c r="AE3" s="16" t="s">
        <v>18</v>
      </c>
      <c r="AF3" s="17" t="s">
        <v>29</v>
      </c>
      <c r="AG3" s="16" t="s">
        <v>19</v>
      </c>
      <c r="AH3" s="17" t="s">
        <v>27</v>
      </c>
      <c r="AI3" s="16" t="s">
        <v>20</v>
      </c>
      <c r="AJ3" s="17" t="s">
        <v>27</v>
      </c>
      <c r="AK3" s="16" t="s">
        <v>21</v>
      </c>
      <c r="AL3" s="17" t="s">
        <v>27</v>
      </c>
      <c r="AM3" s="16" t="s">
        <v>40</v>
      </c>
      <c r="AN3" s="17" t="s">
        <v>27</v>
      </c>
      <c r="AO3" s="16" t="s">
        <v>23</v>
      </c>
      <c r="AP3" s="20" t="s">
        <v>41</v>
      </c>
      <c r="AQ3" s="16" t="s">
        <v>42</v>
      </c>
      <c r="AR3" s="20" t="s">
        <v>43</v>
      </c>
    </row>
    <row r="4" spans="5:44" x14ac:dyDescent="0.2">
      <c r="E4" s="21" t="s">
        <v>44</v>
      </c>
      <c r="F4" s="22" t="s">
        <v>448</v>
      </c>
      <c r="J4" s="15" t="s">
        <v>9</v>
      </c>
      <c r="K4" s="16" t="s">
        <v>45</v>
      </c>
      <c r="L4" s="20" t="s">
        <v>27</v>
      </c>
      <c r="M4" s="16" t="s">
        <v>46</v>
      </c>
      <c r="N4" s="20" t="s">
        <v>29</v>
      </c>
      <c r="O4" s="16" t="s">
        <v>47</v>
      </c>
      <c r="P4" s="17" t="s">
        <v>29</v>
      </c>
      <c r="Q4" s="16" t="s">
        <v>48</v>
      </c>
      <c r="R4" s="17" t="s">
        <v>32</v>
      </c>
      <c r="S4" s="16" t="s">
        <v>49</v>
      </c>
      <c r="T4" s="20" t="s">
        <v>34</v>
      </c>
      <c r="U4" s="19" t="s">
        <v>50</v>
      </c>
      <c r="V4" s="17" t="s">
        <v>32</v>
      </c>
      <c r="W4" s="16" t="s">
        <v>51</v>
      </c>
      <c r="X4" s="20" t="s">
        <v>27</v>
      </c>
      <c r="Y4" s="19" t="s">
        <v>52</v>
      </c>
      <c r="Z4" s="17" t="s">
        <v>53</v>
      </c>
      <c r="AA4" s="16" t="s">
        <v>54</v>
      </c>
      <c r="AB4" s="17" t="s">
        <v>29</v>
      </c>
      <c r="AC4" s="16" t="s">
        <v>55</v>
      </c>
      <c r="AD4" s="17" t="s">
        <v>29</v>
      </c>
      <c r="AE4" s="16" t="s">
        <v>56</v>
      </c>
      <c r="AF4" s="17" t="s">
        <v>29</v>
      </c>
      <c r="AH4" s="20"/>
      <c r="AJ4" s="20"/>
      <c r="AL4" s="20"/>
      <c r="AM4" s="16" t="s">
        <v>57</v>
      </c>
      <c r="AN4" s="17" t="s">
        <v>27</v>
      </c>
      <c r="AQ4" s="16" t="s">
        <v>58</v>
      </c>
      <c r="AR4" s="20" t="s">
        <v>43</v>
      </c>
    </row>
    <row r="5" spans="5:44" x14ac:dyDescent="0.2">
      <c r="E5" s="23" t="s">
        <v>59</v>
      </c>
      <c r="F5" s="24" t="s">
        <v>449</v>
      </c>
      <c r="J5" s="15" t="s">
        <v>10</v>
      </c>
      <c r="K5" s="16" t="s">
        <v>60</v>
      </c>
      <c r="L5" s="20" t="s">
        <v>27</v>
      </c>
      <c r="M5" s="16" t="s">
        <v>61</v>
      </c>
      <c r="N5" s="20" t="s">
        <v>29</v>
      </c>
      <c r="O5" s="16" t="s">
        <v>62</v>
      </c>
      <c r="P5" s="20" t="s">
        <v>32</v>
      </c>
      <c r="Q5" s="16" t="s">
        <v>63</v>
      </c>
      <c r="R5" s="20" t="s">
        <v>32</v>
      </c>
      <c r="S5" s="16" t="s">
        <v>64</v>
      </c>
      <c r="T5" s="20" t="s">
        <v>34</v>
      </c>
      <c r="U5" s="19" t="s">
        <v>65</v>
      </c>
      <c r="V5" s="17" t="s">
        <v>32</v>
      </c>
      <c r="W5" s="16" t="s">
        <v>66</v>
      </c>
      <c r="X5" s="20" t="s">
        <v>32</v>
      </c>
      <c r="Y5" s="16" t="s">
        <v>67</v>
      </c>
      <c r="Z5" s="17" t="s">
        <v>53</v>
      </c>
      <c r="AB5" s="20"/>
      <c r="AD5" s="20"/>
      <c r="AF5" s="20"/>
      <c r="AH5" s="20"/>
      <c r="AJ5" s="20"/>
      <c r="AL5" s="20"/>
      <c r="AM5" s="16" t="s">
        <v>68</v>
      </c>
      <c r="AN5" s="17" t="s">
        <v>27</v>
      </c>
      <c r="AQ5" s="16" t="s">
        <v>69</v>
      </c>
      <c r="AR5" s="20" t="s">
        <v>43</v>
      </c>
    </row>
    <row r="6" spans="5:44" x14ac:dyDescent="0.2">
      <c r="E6" s="23" t="s">
        <v>70</v>
      </c>
      <c r="F6" s="24" t="s">
        <v>450</v>
      </c>
      <c r="J6" s="15" t="s">
        <v>11</v>
      </c>
      <c r="M6" s="16" t="s">
        <v>71</v>
      </c>
      <c r="N6" s="20" t="s">
        <v>29</v>
      </c>
      <c r="O6" s="16" t="s">
        <v>72</v>
      </c>
      <c r="P6" s="20" t="s">
        <v>29</v>
      </c>
      <c r="Q6" s="19" t="s">
        <v>73</v>
      </c>
      <c r="R6" s="20" t="s">
        <v>29</v>
      </c>
      <c r="S6" s="16" t="s">
        <v>74</v>
      </c>
      <c r="T6" s="20" t="s">
        <v>32</v>
      </c>
      <c r="U6" s="16" t="s">
        <v>75</v>
      </c>
      <c r="V6" s="20" t="s">
        <v>32</v>
      </c>
      <c r="W6" s="16" t="s">
        <v>76</v>
      </c>
      <c r="X6" s="20" t="s">
        <v>32</v>
      </c>
      <c r="Y6" s="19" t="s">
        <v>77</v>
      </c>
      <c r="Z6" s="17" t="s">
        <v>27</v>
      </c>
      <c r="AQ6" s="16" t="s">
        <v>78</v>
      </c>
      <c r="AR6" s="20" t="s">
        <v>43</v>
      </c>
    </row>
    <row r="7" spans="5:44" x14ac:dyDescent="0.2">
      <c r="E7" s="25" t="s">
        <v>79</v>
      </c>
      <c r="F7" s="26" t="s">
        <v>516</v>
      </c>
      <c r="J7" s="15" t="s">
        <v>12</v>
      </c>
      <c r="M7" s="16" t="s">
        <v>80</v>
      </c>
      <c r="N7" s="20" t="s">
        <v>29</v>
      </c>
      <c r="O7" s="16" t="s">
        <v>81</v>
      </c>
      <c r="P7" s="20" t="s">
        <v>29</v>
      </c>
      <c r="Q7" s="19" t="s">
        <v>82</v>
      </c>
      <c r="R7" s="20" t="s">
        <v>53</v>
      </c>
      <c r="S7" s="16" t="s">
        <v>83</v>
      </c>
      <c r="T7" s="20" t="s">
        <v>34</v>
      </c>
      <c r="U7" s="16" t="s">
        <v>84</v>
      </c>
      <c r="V7" s="20" t="s">
        <v>34</v>
      </c>
      <c r="W7" s="16"/>
      <c r="Y7" s="16" t="s">
        <v>85</v>
      </c>
      <c r="Z7" s="17" t="s">
        <v>27</v>
      </c>
    </row>
    <row r="8" spans="5:44" x14ac:dyDescent="0.2">
      <c r="E8" s="25" t="s">
        <v>442</v>
      </c>
      <c r="F8" s="26" t="s">
        <v>501</v>
      </c>
      <c r="J8" s="15" t="s">
        <v>13</v>
      </c>
      <c r="M8" s="16" t="s">
        <v>86</v>
      </c>
      <c r="N8" s="17" t="s">
        <v>29</v>
      </c>
      <c r="O8" s="16" t="s">
        <v>87</v>
      </c>
      <c r="P8" s="20" t="s">
        <v>29</v>
      </c>
      <c r="Q8" s="19" t="s">
        <v>88</v>
      </c>
      <c r="R8" s="20" t="s">
        <v>34</v>
      </c>
      <c r="S8" s="16" t="s">
        <v>89</v>
      </c>
      <c r="T8" s="20" t="s">
        <v>34</v>
      </c>
      <c r="U8" s="16" t="s">
        <v>90</v>
      </c>
      <c r="V8" s="20" t="s">
        <v>34</v>
      </c>
      <c r="Y8" s="16" t="s">
        <v>91</v>
      </c>
      <c r="Z8" s="17" t="s">
        <v>29</v>
      </c>
    </row>
    <row r="9" spans="5:44" x14ac:dyDescent="0.2">
      <c r="E9" s="25" t="str">
        <f>IF(F4="FGTS","Valor de Financiamento Contratado (R$):","Valor do Repasse Contratado (R$):")</f>
        <v>Valor do Repasse Contratado (R$):</v>
      </c>
      <c r="F9" s="27">
        <v>4785919</v>
      </c>
      <c r="J9" s="15" t="s">
        <v>14</v>
      </c>
      <c r="S9" s="16" t="s">
        <v>92</v>
      </c>
      <c r="T9" s="20" t="s">
        <v>32</v>
      </c>
      <c r="U9" s="16" t="s">
        <v>93</v>
      </c>
      <c r="V9" s="20" t="s">
        <v>34</v>
      </c>
    </row>
    <row r="10" spans="5:44" x14ac:dyDescent="0.2">
      <c r="E10" s="25" t="s">
        <v>94</v>
      </c>
      <c r="F10" s="27">
        <v>338068.87</v>
      </c>
      <c r="J10" s="15" t="s">
        <v>15</v>
      </c>
      <c r="S10" s="16" t="s">
        <v>95</v>
      </c>
      <c r="T10" s="20" t="s">
        <v>53</v>
      </c>
      <c r="U10" s="16" t="s">
        <v>96</v>
      </c>
      <c r="V10" s="17" t="s">
        <v>27</v>
      </c>
    </row>
    <row r="11" spans="5:44" x14ac:dyDescent="0.2">
      <c r="E11" s="25" t="s">
        <v>97</v>
      </c>
      <c r="F11" s="28">
        <v>2E-3</v>
      </c>
      <c r="J11" s="15" t="s">
        <v>16</v>
      </c>
      <c r="S11" s="16" t="s">
        <v>98</v>
      </c>
      <c r="T11" s="20" t="s">
        <v>32</v>
      </c>
    </row>
    <row r="12" spans="5:44" x14ac:dyDescent="0.2">
      <c r="E12" s="25" t="s">
        <v>99</v>
      </c>
      <c r="F12" s="27"/>
      <c r="J12" s="15" t="s">
        <v>17</v>
      </c>
      <c r="S12" s="16" t="s">
        <v>35</v>
      </c>
      <c r="T12" s="20" t="s">
        <v>27</v>
      </c>
    </row>
    <row r="13" spans="5:44" x14ac:dyDescent="0.2">
      <c r="E13" s="29" t="s">
        <v>100</v>
      </c>
      <c r="F13" s="30">
        <v>0.08</v>
      </c>
      <c r="J13" s="15" t="s">
        <v>18</v>
      </c>
      <c r="S13" s="16" t="s">
        <v>101</v>
      </c>
      <c r="T13" s="20" t="s">
        <v>32</v>
      </c>
    </row>
    <row r="14" spans="5:44" x14ac:dyDescent="0.2">
      <c r="E14" s="4"/>
      <c r="F14" s="31"/>
      <c r="J14" s="15" t="s">
        <v>19</v>
      </c>
    </row>
    <row r="15" spans="5:44" ht="15" x14ac:dyDescent="0.2">
      <c r="E15" s="671" t="s">
        <v>102</v>
      </c>
      <c r="F15" s="671"/>
      <c r="J15" s="15" t="s">
        <v>20</v>
      </c>
    </row>
    <row r="16" spans="5:44" ht="38.25" x14ac:dyDescent="0.2">
      <c r="E16" s="32" t="s">
        <v>103</v>
      </c>
      <c r="F16" s="33" t="s">
        <v>502</v>
      </c>
      <c r="J16" s="15" t="s">
        <v>21</v>
      </c>
    </row>
    <row r="17" spans="5:10" ht="38.25" x14ac:dyDescent="0.2">
      <c r="E17" s="25" t="s">
        <v>104</v>
      </c>
      <c r="F17" s="34" t="s">
        <v>503</v>
      </c>
      <c r="J17" s="15" t="s">
        <v>22</v>
      </c>
    </row>
    <row r="18" spans="5:10" x14ac:dyDescent="0.2">
      <c r="E18" s="35" t="s">
        <v>105</v>
      </c>
      <c r="F18" s="36" t="s">
        <v>452</v>
      </c>
      <c r="J18" s="15" t="s">
        <v>23</v>
      </c>
    </row>
    <row r="19" spans="5:10" x14ac:dyDescent="0.2">
      <c r="E19" s="37" t="s">
        <v>106</v>
      </c>
      <c r="F19" s="38">
        <v>45261</v>
      </c>
      <c r="J19" s="15" t="s">
        <v>24</v>
      </c>
    </row>
    <row r="20" spans="5:10" x14ac:dyDescent="0.2">
      <c r="E20" s="39"/>
      <c r="F20" s="40"/>
      <c r="J20" s="15"/>
    </row>
    <row r="21" spans="5:10" ht="15" x14ac:dyDescent="0.2">
      <c r="E21" s="671" t="s">
        <v>107</v>
      </c>
      <c r="F21" s="671"/>
      <c r="J21" s="15"/>
    </row>
    <row r="22" spans="5:10" x14ac:dyDescent="0.2">
      <c r="E22" s="23" t="s">
        <v>108</v>
      </c>
      <c r="F22" s="41" t="s">
        <v>453</v>
      </c>
    </row>
    <row r="23" spans="5:10" x14ac:dyDescent="0.2">
      <c r="E23" s="25" t="s">
        <v>109</v>
      </c>
      <c r="F23" s="26" t="s">
        <v>454</v>
      </c>
    </row>
    <row r="24" spans="5:10" x14ac:dyDescent="0.2">
      <c r="E24" s="25" t="s">
        <v>110</v>
      </c>
      <c r="F24" s="26" t="s">
        <v>506</v>
      </c>
    </row>
    <row r="25" spans="5:10" x14ac:dyDescent="0.2">
      <c r="E25" s="29" t="s">
        <v>111</v>
      </c>
      <c r="F25" s="42">
        <f ca="1">TODAY()</f>
        <v>45737</v>
      </c>
    </row>
    <row r="26" spans="5:10" x14ac:dyDescent="0.2">
      <c r="E26" s="39"/>
      <c r="F26" s="39"/>
    </row>
    <row r="27" spans="5:10" ht="15" x14ac:dyDescent="0.2">
      <c r="E27" s="671" t="s">
        <v>112</v>
      </c>
      <c r="F27" s="671"/>
    </row>
    <row r="28" spans="5:10" x14ac:dyDescent="0.2">
      <c r="E28" s="21" t="s">
        <v>108</v>
      </c>
      <c r="F28" s="43" t="s">
        <v>455</v>
      </c>
    </row>
    <row r="29" spans="5:10" x14ac:dyDescent="0.2">
      <c r="E29" s="29" t="s">
        <v>113</v>
      </c>
      <c r="F29" s="44" t="s">
        <v>456</v>
      </c>
    </row>
    <row r="30" spans="5:10" ht="16.5" thickBot="1" x14ac:dyDescent="0.25">
      <c r="E30" s="10"/>
    </row>
    <row r="31" spans="5:10" ht="13.5" thickBot="1" x14ac:dyDescent="0.25">
      <c r="E31" s="661" t="s">
        <v>439</v>
      </c>
      <c r="F31" s="662" t="s">
        <v>440</v>
      </c>
    </row>
    <row r="32" spans="5:10" ht="12.75" customHeight="1" x14ac:dyDescent="0.2">
      <c r="E32" s="10"/>
    </row>
    <row r="33" spans="5:6" ht="12.75" customHeight="1" x14ac:dyDescent="0.2">
      <c r="E33" s="10" t="s">
        <v>114</v>
      </c>
    </row>
    <row r="34" spans="5:6" ht="15.75" x14ac:dyDescent="0.2">
      <c r="E34" s="10"/>
    </row>
    <row r="35" spans="5:6" ht="12.75" customHeight="1" x14ac:dyDescent="0.2">
      <c r="E35" s="673" t="s">
        <v>115</v>
      </c>
      <c r="F35" s="673"/>
    </row>
    <row r="36" spans="5:6" x14ac:dyDescent="0.2">
      <c r="E36" s="21" t="s">
        <v>116</v>
      </c>
      <c r="F36" s="45"/>
    </row>
    <row r="37" spans="5:6" x14ac:dyDescent="0.2">
      <c r="E37" s="46" t="s">
        <v>117</v>
      </c>
      <c r="F37" s="24"/>
    </row>
    <row r="38" spans="5:6" x14ac:dyDescent="0.2">
      <c r="E38" s="35" t="s">
        <v>118</v>
      </c>
      <c r="F38" s="26"/>
    </row>
    <row r="39" spans="5:6" x14ac:dyDescent="0.2">
      <c r="E39" s="35" t="s">
        <v>119</v>
      </c>
      <c r="F39" s="26"/>
    </row>
    <row r="40" spans="5:6" x14ac:dyDescent="0.2">
      <c r="E40" s="35" t="s">
        <v>120</v>
      </c>
      <c r="F40" s="36" t="s">
        <v>409</v>
      </c>
    </row>
    <row r="41" spans="5:6" x14ac:dyDescent="0.2">
      <c r="E41" s="47" t="s">
        <v>121</v>
      </c>
      <c r="F41" s="48"/>
    </row>
    <row r="42" spans="5:6" ht="15.75" x14ac:dyDescent="0.2">
      <c r="E42" s="10"/>
    </row>
    <row r="43" spans="5:6" ht="12.75" customHeight="1" x14ac:dyDescent="0.2">
      <c r="E43" s="10"/>
    </row>
    <row r="44" spans="5:6" ht="12.75" customHeight="1" x14ac:dyDescent="0.2">
      <c r="E44" s="10" t="s">
        <v>122</v>
      </c>
    </row>
    <row r="45" spans="5:6" ht="15.75" x14ac:dyDescent="0.2">
      <c r="E45" s="10"/>
    </row>
    <row r="46" spans="5:6" ht="12.75" customHeight="1" x14ac:dyDescent="0.2">
      <c r="E46" s="671" t="s">
        <v>123</v>
      </c>
      <c r="F46" s="671"/>
    </row>
    <row r="47" spans="5:6" x14ac:dyDescent="0.2">
      <c r="E47" s="21" t="s">
        <v>124</v>
      </c>
      <c r="F47" s="45"/>
    </row>
    <row r="48" spans="5:6" x14ac:dyDescent="0.2">
      <c r="E48" s="37" t="s">
        <v>125</v>
      </c>
      <c r="F48" s="49">
        <f ca="1">TODAY()</f>
        <v>45737</v>
      </c>
    </row>
    <row r="49" spans="5:6" ht="15.75" x14ac:dyDescent="0.2">
      <c r="E49" s="10"/>
    </row>
    <row r="50" spans="5:6" ht="12.75" customHeight="1" x14ac:dyDescent="0.2">
      <c r="E50" s="671" t="s">
        <v>126</v>
      </c>
      <c r="F50" s="671"/>
    </row>
    <row r="51" spans="5:6" x14ac:dyDescent="0.2">
      <c r="E51" s="21" t="s">
        <v>108</v>
      </c>
      <c r="F51" s="50"/>
    </row>
    <row r="52" spans="5:6" x14ac:dyDescent="0.2">
      <c r="E52" s="25" t="s">
        <v>127</v>
      </c>
      <c r="F52" s="26"/>
    </row>
    <row r="53" spans="5:6" x14ac:dyDescent="0.2">
      <c r="E53" s="25" t="s">
        <v>128</v>
      </c>
      <c r="F53" s="26"/>
    </row>
    <row r="54" spans="5:6" x14ac:dyDescent="0.2">
      <c r="E54" s="29" t="s">
        <v>129</v>
      </c>
      <c r="F54" s="51"/>
    </row>
    <row r="55" spans="5:6" x14ac:dyDescent="0.2">
      <c r="E55" s="39"/>
      <c r="F55" s="40"/>
    </row>
    <row r="57" spans="5:6" ht="15.75" x14ac:dyDescent="0.2">
      <c r="E57" s="10" t="s">
        <v>130</v>
      </c>
    </row>
    <row r="58" spans="5:6" ht="16.5" thickBot="1" x14ac:dyDescent="0.25">
      <c r="E58" s="10"/>
    </row>
    <row r="59" spans="5:6" ht="15.75" thickBot="1" x14ac:dyDescent="0.25">
      <c r="E59" s="671" t="s">
        <v>131</v>
      </c>
      <c r="F59" s="671"/>
    </row>
    <row r="60" spans="5:6" x14ac:dyDescent="0.2">
      <c r="E60" s="21" t="s">
        <v>108</v>
      </c>
      <c r="F60" s="52"/>
    </row>
    <row r="61" spans="5:6" ht="13.5" thickBot="1" x14ac:dyDescent="0.25">
      <c r="E61" s="37" t="s">
        <v>132</v>
      </c>
      <c r="F61" s="53"/>
    </row>
  </sheetData>
  <sheetProtection algorithmName="SHA-512" hashValue="qhS/ShjVl0+iA4u/StJPADXZyyqWi5zwH0VBtDEuJX/uBAKcz7JKS5I8lzesfnvIOedvcSZU9CgCLO5EWPt0UQ==" saltValue="rK4r+LATfY57KJ9egRg7Kg==" spinCount="100000" sheet="1" objects="1" scenarios="1" autoFilter="0"/>
  <mergeCells count="9">
    <mergeCell ref="E50:F50"/>
    <mergeCell ref="E59:F59"/>
    <mergeCell ref="L1:AR1"/>
    <mergeCell ref="E3:F3"/>
    <mergeCell ref="E15:F15"/>
    <mergeCell ref="E21:F21"/>
    <mergeCell ref="E27:F27"/>
    <mergeCell ref="E35:F35"/>
    <mergeCell ref="E46:F46"/>
  </mergeCells>
  <phoneticPr fontId="38" type="noConversion"/>
  <conditionalFormatting sqref="E57:F58">
    <cfRule type="expression" dxfId="355" priority="2" stopIfTrue="1">
      <formula>CAIXA.Modo=FALSE</formula>
    </cfRule>
  </conditionalFormatting>
  <conditionalFormatting sqref="E59:F61">
    <cfRule type="expression" dxfId="354" priority="3" stopIfTrue="1">
      <formula>CAIXA.Modo=FALSE</formula>
    </cfRule>
  </conditionalFormatting>
  <dataValidations count="7">
    <dataValidation type="date" allowBlank="1" showErrorMessage="1" errorTitle="Dados inválidos" error="Digite somente datas válidas no formato mm/aaaa." sqref="F19 F25 F36 F41 F47:F48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40">
      <formula1>"(SELECIONAR),INDEFINIDO / NÃO SE APLICA,EMPREITADA POR PREÇO GLOBAL,EMPREITADA POR PREÇO UNITÁRIO,EMPREITADA INTEGRAL,TAREFA,CONTRATAÇÃO INTEGRADA,ADM. DIRETA"</formula1>
      <formula2>0</formula2>
    </dataValidation>
    <dataValidation type="list" allowBlank="1" showErrorMessage="1" sqref="F31">
      <formula1>"Tradicional,TransfereGOV"</formula1>
    </dataValidation>
  </dataValidations>
  <pageMargins left="0.78740157480314998" right="0.78740157480314998" top="0.78740157480314998" bottom="0.78740157480314998" header="5.7086614173228396" footer="0.59055118110236204"/>
  <pageSetup paperSize="9" scale="66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52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54" t="s">
        <v>133</v>
      </c>
    </row>
    <row r="5" spans="1:4" ht="18.75" x14ac:dyDescent="0.3">
      <c r="A5" s="55"/>
      <c r="B5" s="56"/>
      <c r="C5" s="56"/>
      <c r="D5" s="57"/>
    </row>
    <row r="6" spans="1:4" ht="18.75" x14ac:dyDescent="0.3">
      <c r="A6" s="58" t="s">
        <v>134</v>
      </c>
      <c r="B6" s="59"/>
      <c r="C6" s="59"/>
      <c r="D6" s="39"/>
    </row>
    <row r="7" spans="1:4" ht="15" x14ac:dyDescent="0.25">
      <c r="A7" s="60"/>
      <c r="B7" s="61" t="s">
        <v>135</v>
      </c>
      <c r="C7" s="61"/>
      <c r="D7" s="39"/>
    </row>
    <row r="8" spans="1:4" ht="15" x14ac:dyDescent="0.25">
      <c r="A8" s="60"/>
      <c r="B8" s="61"/>
      <c r="C8" s="62" t="str">
        <f>IF(D8&lt;&gt;"","▪","")</f>
        <v>▪</v>
      </c>
      <c r="D8" s="39" t="s">
        <v>136</v>
      </c>
    </row>
    <row r="9" spans="1:4" ht="15" x14ac:dyDescent="0.25">
      <c r="A9" s="60"/>
      <c r="B9" s="63"/>
      <c r="C9" s="64" t="str">
        <f>IF(D9&lt;&gt;"","▪","")</f>
        <v/>
      </c>
      <c r="D9" s="65"/>
    </row>
    <row r="10" spans="1:4" ht="18.75" x14ac:dyDescent="0.3">
      <c r="A10" s="651" t="s">
        <v>412</v>
      </c>
      <c r="B10" s="652"/>
      <c r="C10" s="652"/>
      <c r="D10" s="653"/>
    </row>
    <row r="11" spans="1:4" ht="15" x14ac:dyDescent="0.25">
      <c r="A11" s="60"/>
      <c r="B11" s="61" t="s">
        <v>135</v>
      </c>
      <c r="C11" s="61"/>
      <c r="D11" s="39"/>
    </row>
    <row r="12" spans="1:4" ht="15" x14ac:dyDescent="0.25">
      <c r="A12" s="60"/>
      <c r="B12" s="61"/>
      <c r="C12" s="62" t="str">
        <f>IF(D12&lt;&gt;"","▪","")</f>
        <v>▪</v>
      </c>
      <c r="D12" s="39" t="s">
        <v>415</v>
      </c>
    </row>
    <row r="13" spans="1:4" ht="15" x14ac:dyDescent="0.25">
      <c r="A13" s="60"/>
      <c r="B13" s="61" t="s">
        <v>413</v>
      </c>
      <c r="C13" s="61"/>
      <c r="D13" s="39"/>
    </row>
    <row r="14" spans="1:4" ht="15" x14ac:dyDescent="0.25">
      <c r="A14" s="553"/>
      <c r="B14" s="61"/>
      <c r="C14" s="62" t="str">
        <f>IF(D14&lt;&gt;"","▪","")</f>
        <v>▪</v>
      </c>
      <c r="D14" s="39" t="s">
        <v>416</v>
      </c>
    </row>
    <row r="15" spans="1:4" ht="15" x14ac:dyDescent="0.2">
      <c r="A15" s="553"/>
      <c r="C15" s="62" t="str">
        <f>IF(D15&lt;&gt;"","▪","")</f>
        <v>▪</v>
      </c>
      <c r="D15" s="39" t="s">
        <v>417</v>
      </c>
    </row>
    <row r="16" spans="1:4" x14ac:dyDescent="0.2">
      <c r="A16" s="558"/>
    </row>
    <row r="17" spans="1:4" ht="18.75" x14ac:dyDescent="0.3">
      <c r="A17" s="651" t="s">
        <v>419</v>
      </c>
      <c r="B17" s="652"/>
      <c r="C17" s="652"/>
      <c r="D17" s="653"/>
    </row>
    <row r="18" spans="1:4" ht="15" x14ac:dyDescent="0.25">
      <c r="A18" s="60"/>
      <c r="B18" s="61" t="s">
        <v>135</v>
      </c>
      <c r="C18" s="61"/>
      <c r="D18" s="39"/>
    </row>
    <row r="19" spans="1:4" ht="15" x14ac:dyDescent="0.25">
      <c r="A19" s="60"/>
      <c r="B19" s="61"/>
      <c r="C19" s="62" t="str">
        <f>IF(D19&lt;&gt;"","▪","")</f>
        <v>▪</v>
      </c>
      <c r="D19" s="39" t="s">
        <v>415</v>
      </c>
    </row>
    <row r="20" spans="1:4" ht="15" x14ac:dyDescent="0.25">
      <c r="A20" s="60"/>
      <c r="B20" s="61"/>
      <c r="C20" s="62" t="str">
        <f>IF(D20&lt;&gt;"","▪","")</f>
        <v>▪</v>
      </c>
      <c r="D20" s="39" t="s">
        <v>428</v>
      </c>
    </row>
    <row r="21" spans="1:4" ht="15" x14ac:dyDescent="0.25">
      <c r="A21" s="553"/>
      <c r="B21" s="61" t="s">
        <v>426</v>
      </c>
      <c r="C21" s="61"/>
      <c r="D21" s="39"/>
    </row>
    <row r="22" spans="1:4" ht="15" x14ac:dyDescent="0.25">
      <c r="A22" s="553"/>
      <c r="B22" s="61"/>
      <c r="C22" s="62" t="str">
        <f>IF(D22&lt;&gt;"","▪","")</f>
        <v>▪</v>
      </c>
      <c r="D22" s="39" t="s">
        <v>427</v>
      </c>
    </row>
    <row r="23" spans="1:4" ht="15" x14ac:dyDescent="0.25">
      <c r="A23" s="553"/>
      <c r="B23" s="61" t="s">
        <v>420</v>
      </c>
      <c r="C23" s="61"/>
      <c r="D23" s="39"/>
    </row>
    <row r="24" spans="1:4" ht="15" x14ac:dyDescent="0.25">
      <c r="A24" s="553"/>
      <c r="B24" s="61"/>
      <c r="C24" s="62" t="str">
        <f>IF(D24&lt;&gt;"","▪","")</f>
        <v>▪</v>
      </c>
      <c r="D24" s="39" t="s">
        <v>424</v>
      </c>
    </row>
    <row r="25" spans="1:4" ht="15" x14ac:dyDescent="0.25">
      <c r="A25" s="553"/>
      <c r="B25" s="61" t="s">
        <v>421</v>
      </c>
      <c r="C25" s="61"/>
      <c r="D25" s="39"/>
    </row>
    <row r="26" spans="1:4" ht="15" x14ac:dyDescent="0.25">
      <c r="A26" s="553"/>
      <c r="B26" s="61"/>
      <c r="C26" s="62" t="str">
        <f>IF(D26&lt;&gt;"","▪","")</f>
        <v>▪</v>
      </c>
      <c r="D26" s="39" t="s">
        <v>423</v>
      </c>
    </row>
    <row r="27" spans="1:4" ht="15" x14ac:dyDescent="0.25">
      <c r="A27" s="553"/>
      <c r="B27" s="61" t="s">
        <v>425</v>
      </c>
      <c r="C27" s="61"/>
      <c r="D27" s="39"/>
    </row>
    <row r="28" spans="1:4" ht="15" x14ac:dyDescent="0.25">
      <c r="A28" s="553"/>
      <c r="B28" s="61"/>
      <c r="C28" s="62" t="str">
        <f>IF(D28&lt;&gt;"","▪","")</f>
        <v>▪</v>
      </c>
      <c r="D28" s="39" t="s">
        <v>422</v>
      </c>
    </row>
    <row r="29" spans="1:4" x14ac:dyDescent="0.2">
      <c r="A29" s="558"/>
    </row>
    <row r="30" spans="1:4" ht="18.75" x14ac:dyDescent="0.3">
      <c r="A30" s="651" t="s">
        <v>429</v>
      </c>
      <c r="B30" s="652"/>
      <c r="C30" s="652"/>
      <c r="D30" s="653"/>
    </row>
    <row r="31" spans="1:4" ht="15" x14ac:dyDescent="0.25">
      <c r="A31" s="60"/>
      <c r="B31" s="61" t="s">
        <v>135</v>
      </c>
      <c r="C31" s="61"/>
      <c r="D31" s="39"/>
    </row>
    <row r="32" spans="1:4" ht="15" x14ac:dyDescent="0.25">
      <c r="A32" s="60"/>
      <c r="B32" s="61"/>
      <c r="C32" s="62" t="str">
        <f>IF(D32&lt;&gt;"","▪","")</f>
        <v>▪</v>
      </c>
      <c r="D32" s="39" t="s">
        <v>428</v>
      </c>
    </row>
    <row r="33" spans="1:5" ht="15" x14ac:dyDescent="0.25">
      <c r="A33" s="60"/>
      <c r="B33" s="61" t="s">
        <v>430</v>
      </c>
      <c r="C33" s="62"/>
      <c r="D33" s="39"/>
    </row>
    <row r="34" spans="1:5" ht="15" x14ac:dyDescent="0.25">
      <c r="A34" s="60"/>
      <c r="B34" s="61"/>
      <c r="C34" s="62" t="str">
        <f>IF(D34&lt;&gt;"","▪","")</f>
        <v>▪</v>
      </c>
      <c r="D34" s="39" t="s">
        <v>431</v>
      </c>
    </row>
    <row r="35" spans="1:5" ht="15" x14ac:dyDescent="0.25">
      <c r="A35" s="60"/>
      <c r="B35" s="61"/>
      <c r="C35" s="61"/>
      <c r="D35" s="61"/>
      <c r="E35" s="61"/>
    </row>
    <row r="36" spans="1:5" x14ac:dyDescent="0.2">
      <c r="A36" s="558"/>
    </row>
    <row r="37" spans="1:5" ht="18.75" x14ac:dyDescent="0.3">
      <c r="A37" s="651" t="s">
        <v>432</v>
      </c>
      <c r="B37" s="652"/>
      <c r="C37" s="652"/>
      <c r="D37" s="653"/>
    </row>
    <row r="38" spans="1:5" ht="15" x14ac:dyDescent="0.25">
      <c r="A38" s="60"/>
      <c r="B38" s="61" t="s">
        <v>212</v>
      </c>
      <c r="C38" s="61"/>
      <c r="D38" s="39"/>
    </row>
    <row r="39" spans="1:5" ht="15" x14ac:dyDescent="0.25">
      <c r="A39" s="60"/>
      <c r="B39" s="61"/>
      <c r="C39" s="62" t="str">
        <f>IF(D39&lt;&gt;"","▪","")</f>
        <v>▪</v>
      </c>
      <c r="D39" s="39" t="s">
        <v>433</v>
      </c>
    </row>
    <row r="40" spans="1:5" ht="15" x14ac:dyDescent="0.25">
      <c r="A40" s="60"/>
      <c r="B40" s="61" t="s">
        <v>420</v>
      </c>
      <c r="C40" s="61"/>
      <c r="D40" s="39"/>
    </row>
    <row r="41" spans="1:5" ht="15" x14ac:dyDescent="0.25">
      <c r="A41" s="60"/>
      <c r="B41" s="61"/>
      <c r="C41" s="62" t="str">
        <f>IF(D41&lt;&gt;"","▪","")</f>
        <v>▪</v>
      </c>
      <c r="D41" s="39" t="s">
        <v>434</v>
      </c>
    </row>
    <row r="42" spans="1:5" ht="15" x14ac:dyDescent="0.25">
      <c r="A42" s="60"/>
      <c r="B42" s="61" t="s">
        <v>421</v>
      </c>
      <c r="C42" s="61"/>
      <c r="D42" s="39"/>
      <c r="E42" s="61"/>
    </row>
    <row r="43" spans="1:5" ht="15" x14ac:dyDescent="0.25">
      <c r="A43" s="60"/>
      <c r="B43" s="61"/>
      <c r="C43" s="62" t="str">
        <f>IF(D43&lt;&gt;"","▪","")</f>
        <v>▪</v>
      </c>
      <c r="D43" s="39" t="s">
        <v>435</v>
      </c>
    </row>
    <row r="44" spans="1:5" ht="15" x14ac:dyDescent="0.25">
      <c r="A44" s="60"/>
      <c r="B44" s="61"/>
      <c r="C44" s="61"/>
      <c r="D44" s="61"/>
    </row>
    <row r="45" spans="1:5" ht="18.75" x14ac:dyDescent="0.3">
      <c r="A45" s="651" t="s">
        <v>436</v>
      </c>
      <c r="B45" s="652"/>
      <c r="C45" s="652"/>
      <c r="D45" s="653"/>
    </row>
    <row r="46" spans="1:5" ht="15" x14ac:dyDescent="0.25">
      <c r="A46" s="60"/>
      <c r="B46" s="61" t="s">
        <v>135</v>
      </c>
      <c r="C46" s="61"/>
      <c r="D46" s="39"/>
    </row>
    <row r="47" spans="1:5" ht="15" x14ac:dyDescent="0.25">
      <c r="A47" s="60"/>
      <c r="B47" s="61"/>
      <c r="C47" s="62" t="str">
        <f>IF(D47&lt;&gt;"","▪","")</f>
        <v>▪</v>
      </c>
      <c r="D47" s="39" t="s">
        <v>437</v>
      </c>
    </row>
    <row r="48" spans="1:5" ht="15" x14ac:dyDescent="0.25">
      <c r="A48" s="60"/>
      <c r="B48" s="61"/>
      <c r="C48" s="61"/>
      <c r="D48" s="61"/>
    </row>
    <row r="49" spans="1:4" ht="18.75" x14ac:dyDescent="0.3">
      <c r="A49" s="651" t="s">
        <v>441</v>
      </c>
      <c r="B49" s="652"/>
      <c r="C49" s="652"/>
      <c r="D49" s="653"/>
    </row>
    <row r="50" spans="1:4" ht="15" x14ac:dyDescent="0.25">
      <c r="A50" s="60"/>
      <c r="B50" s="61" t="s">
        <v>135</v>
      </c>
      <c r="C50" s="61"/>
      <c r="D50" s="39"/>
    </row>
    <row r="51" spans="1:4" ht="15" x14ac:dyDescent="0.25">
      <c r="A51" s="60"/>
      <c r="B51" s="61"/>
      <c r="C51" s="62" t="str">
        <f>IF(D51&lt;&gt;"","▪","")</f>
        <v>▪</v>
      </c>
      <c r="D51" s="39" t="s">
        <v>444</v>
      </c>
    </row>
    <row r="52" spans="1:4" ht="15" x14ac:dyDescent="0.25">
      <c r="A52" s="60"/>
      <c r="B52" s="61"/>
      <c r="C52" s="62" t="str">
        <f>IF(D52&lt;&gt;"","▪","")</f>
        <v>▪</v>
      </c>
      <c r="D52" s="39" t="s">
        <v>445</v>
      </c>
    </row>
  </sheetData>
  <sheetProtection algorithmName="SHA-512" hashValue="GC6aTY4P3+MgUUaaLQr7h0CNDYXN8M3ZMYAUt6aL0dD73B0tM8IsJMu1rlkcLSClvINKcCdfIJYgR1tTOZ4AQA==" saltValue="lkrPr3lBUuggvMEOMJPFDg==" spinCount="100000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Z146"/>
  <sheetViews>
    <sheetView showGridLines="0" view="pageBreakPreview" topLeftCell="H1" zoomScaleNormal="90" zoomScaleSheetLayoutView="100" workbookViewId="0">
      <pane ySplit="11" topLeftCell="A26" activePane="bottomLeft" state="frozen"/>
      <selection activeCell="E1" sqref="E1"/>
      <selection pane="bottomLeft" activeCell="S27" sqref="S27"/>
    </sheetView>
  </sheetViews>
  <sheetFormatPr defaultRowHeight="12.75" x14ac:dyDescent="0.2"/>
  <cols>
    <col min="1" max="4" width="5.7109375" style="66" hidden="1" customWidth="1"/>
    <col min="5" max="5" width="11.28515625" style="66" hidden="1" customWidth="1"/>
    <col min="6" max="6" width="11.42578125" style="66" hidden="1" customWidth="1"/>
    <col min="7" max="7" width="11.85546875" style="66" hidden="1" customWidth="1"/>
    <col min="8" max="8" width="10.7109375" customWidth="1"/>
    <col min="9" max="9" width="3.7109375" customWidth="1"/>
    <col min="10" max="15" width="10.7109375" style="66" customWidth="1"/>
    <col min="16" max="16" width="12.85546875" style="66" customWidth="1"/>
    <col min="17" max="19" width="10.7109375" style="66" customWidth="1"/>
  </cols>
  <sheetData>
    <row r="1" spans="1:19" ht="15.75" x14ac:dyDescent="0.25">
      <c r="E1" s="67" t="s">
        <v>137</v>
      </c>
      <c r="F1" s="67" t="s">
        <v>138</v>
      </c>
      <c r="G1" s="67" t="s">
        <v>139</v>
      </c>
      <c r="O1" s="68" t="str">
        <f>"Quadro de Composição do BDI"</f>
        <v>Quadro de Composição do BDI</v>
      </c>
      <c r="R1" s="698" t="s">
        <v>140</v>
      </c>
      <c r="S1" s="698"/>
    </row>
    <row r="2" spans="1:19" x14ac:dyDescent="0.2">
      <c r="A2" s="66" t="s">
        <v>141</v>
      </c>
      <c r="B2" s="70" t="s">
        <v>142</v>
      </c>
      <c r="C2" s="66" t="str">
        <f t="shared" ref="C2:C49" si="0">CONCATENATE(A2,"-",B2)</f>
        <v>Construção e Reforma de Edifícios-AC</v>
      </c>
      <c r="E2" s="71">
        <v>0.03</v>
      </c>
      <c r="F2" s="71">
        <v>0.04</v>
      </c>
      <c r="G2" s="71">
        <v>5.5E-2</v>
      </c>
      <c r="R2" s="699" t="s">
        <v>143</v>
      </c>
      <c r="S2" s="699"/>
    </row>
    <row r="3" spans="1:19" x14ac:dyDescent="0.2">
      <c r="A3" s="66" t="str">
        <f>A2</f>
        <v>Construção e Reforma de Edifícios</v>
      </c>
      <c r="B3" s="70" t="s">
        <v>144</v>
      </c>
      <c r="C3" s="66" t="str">
        <f t="shared" si="0"/>
        <v>Construção e Reforma de Edifícios-SG</v>
      </c>
      <c r="E3" s="71">
        <v>8.0000000000000002E-3</v>
      </c>
      <c r="F3" s="71">
        <v>8.0000000000000002E-3</v>
      </c>
      <c r="G3" s="71">
        <v>0.01</v>
      </c>
    </row>
    <row r="4" spans="1:19" x14ac:dyDescent="0.2">
      <c r="A4" s="66" t="str">
        <f>A3</f>
        <v>Construção e Reforma de Edifícios</v>
      </c>
      <c r="B4" s="70" t="s">
        <v>145</v>
      </c>
      <c r="C4" s="66" t="str">
        <f t="shared" si="0"/>
        <v>Construção e Reforma de Edifícios-R</v>
      </c>
      <c r="E4" s="71">
        <v>9.7000000000000003E-3</v>
      </c>
      <c r="F4" s="71">
        <v>1.2699999999999999E-2</v>
      </c>
      <c r="G4" s="71">
        <v>1.2699999999999999E-2</v>
      </c>
      <c r="J4" s="694" t="s">
        <v>146</v>
      </c>
      <c r="K4" s="694"/>
      <c r="L4" s="694" t="s">
        <v>446</v>
      </c>
      <c r="M4" s="694"/>
      <c r="N4" s="694" t="s">
        <v>147</v>
      </c>
      <c r="O4" s="694"/>
      <c r="P4" s="694"/>
      <c r="Q4" s="694"/>
      <c r="R4" s="694"/>
      <c r="S4" s="694"/>
    </row>
    <row r="5" spans="1:19" ht="12.75" customHeight="1" x14ac:dyDescent="0.2">
      <c r="A5" s="66" t="str">
        <f>A4</f>
        <v>Construção e Reforma de Edifícios</v>
      </c>
      <c r="B5" s="70" t="s">
        <v>148</v>
      </c>
      <c r="C5" s="66" t="str">
        <f t="shared" si="0"/>
        <v>Construção e Reforma de Edifícios-DF</v>
      </c>
      <c r="E5" s="71">
        <v>5.8999999999999999E-3</v>
      </c>
      <c r="F5" s="71">
        <v>1.23E-2</v>
      </c>
      <c r="G5" s="71">
        <v>1.3899999999999999E-2</v>
      </c>
      <c r="J5" s="697" t="str">
        <f>Import.CR</f>
        <v>01090614-71</v>
      </c>
      <c r="K5" s="697"/>
      <c r="L5" s="697" t="str">
        <f>Import.TransfereGOV</f>
        <v>951453</v>
      </c>
      <c r="M5" s="697"/>
      <c r="N5" s="697" t="str">
        <f>Import.Proponente</f>
        <v>PREFEITURA MUNICIPAL DE SÃO FRANCISCO-MG</v>
      </c>
      <c r="O5" s="697"/>
      <c r="P5" s="697"/>
      <c r="Q5" s="697"/>
      <c r="R5" s="697"/>
      <c r="S5" s="697"/>
    </row>
    <row r="6" spans="1:19" x14ac:dyDescent="0.2">
      <c r="A6" s="66" t="str">
        <f>A5</f>
        <v>Construção e Reforma de Edifícios</v>
      </c>
      <c r="B6" s="70" t="s">
        <v>149</v>
      </c>
      <c r="C6" s="66" t="str">
        <f t="shared" si="0"/>
        <v>Construção e Reforma de Edifícios-L</v>
      </c>
      <c r="E6" s="71">
        <v>6.1600000000000002E-2</v>
      </c>
      <c r="F6" s="71">
        <v>7.400000000000001E-2</v>
      </c>
      <c r="G6" s="71">
        <v>8.9600000000000013E-2</v>
      </c>
      <c r="I6" s="687" t="s">
        <v>209</v>
      </c>
      <c r="J6" s="74"/>
      <c r="K6" s="74"/>
      <c r="L6" s="74"/>
      <c r="M6" s="74"/>
      <c r="N6" s="74"/>
      <c r="O6" s="74"/>
      <c r="P6" s="74"/>
      <c r="Q6" s="74"/>
      <c r="R6" s="74"/>
      <c r="S6" s="74"/>
    </row>
    <row r="7" spans="1:19" ht="25.5" x14ac:dyDescent="0.2">
      <c r="A7" s="66" t="str">
        <f>A6</f>
        <v>Construção e Reforma de Edifícios</v>
      </c>
      <c r="B7" s="75" t="s">
        <v>150</v>
      </c>
      <c r="C7" s="66" t="str">
        <f t="shared" si="0"/>
        <v>Construção e Reforma de Edifícios-BDI PAD</v>
      </c>
      <c r="E7" s="71">
        <v>0.2034</v>
      </c>
      <c r="F7" s="71">
        <v>0.22120000000000001</v>
      </c>
      <c r="G7" s="71">
        <v>0.25</v>
      </c>
      <c r="I7" s="687"/>
      <c r="J7" s="694" t="s">
        <v>151</v>
      </c>
      <c r="K7" s="694"/>
      <c r="L7" s="694"/>
      <c r="M7" s="694"/>
      <c r="N7" s="694"/>
      <c r="O7" s="694"/>
      <c r="P7" s="694"/>
      <c r="Q7" s="694"/>
      <c r="R7" s="694"/>
      <c r="S7" s="694"/>
    </row>
    <row r="8" spans="1:19" x14ac:dyDescent="0.2">
      <c r="A8" s="66" t="s">
        <v>152</v>
      </c>
      <c r="B8" s="70" t="s">
        <v>142</v>
      </c>
      <c r="C8" s="66" t="str">
        <f t="shared" si="0"/>
        <v>Construção de Praças Urbanas, Rodovias, Ferrovias e recapeamento e pavimentação de vias urbanas-AC</v>
      </c>
      <c r="E8" s="71">
        <v>3.7999999999999999E-2</v>
      </c>
      <c r="F8" s="71">
        <v>4.0099999999999997E-2</v>
      </c>
      <c r="G8" s="71">
        <v>4.6699999999999998E-2</v>
      </c>
      <c r="I8" s="687"/>
      <c r="J8" s="702" t="str">
        <f>Import.Apelido&amp;" / "&amp;Import.DescLote</f>
        <v xml:space="preserve">PAVIMENTAÇÃO ASFALTICA EM CBUQ DE DIVERSAS VIAS DO BAIRRO FUNCIONÁRIOS NO  MUNICIPIO DE SÃO FRANCISCO-MG  / PAVIMENTAÇÃO ASFALTICA EM CBUQ DE DIVERSAS VIAS DO BAIRRO FUNCIONÁRIOS NO  MUNICIPIO DE SÃO FRANCISCO-MG  </v>
      </c>
      <c r="K8" s="702"/>
      <c r="L8" s="702"/>
      <c r="M8" s="702"/>
      <c r="N8" s="702"/>
      <c r="O8" s="702"/>
      <c r="P8" s="702"/>
      <c r="Q8" s="702"/>
      <c r="R8" s="702"/>
      <c r="S8" s="702"/>
    </row>
    <row r="9" spans="1:19" x14ac:dyDescent="0.2">
      <c r="A9" s="66" t="s">
        <v>152</v>
      </c>
      <c r="B9" s="70" t="s">
        <v>144</v>
      </c>
      <c r="C9" s="66" t="str">
        <f t="shared" si="0"/>
        <v>Construção de Praças Urbanas, Rodovias, Ferrovias e recapeamento e pavimentação de vias urbanas-SG</v>
      </c>
      <c r="E9" s="71">
        <v>3.2000000000000002E-3</v>
      </c>
      <c r="F9" s="71">
        <v>4.0000000000000001E-3</v>
      </c>
      <c r="G9" s="71">
        <v>7.4000000000000003E-3</v>
      </c>
      <c r="I9" s="687"/>
      <c r="J9" s="74"/>
      <c r="K9" s="74"/>
      <c r="L9" s="74"/>
      <c r="M9" s="74"/>
      <c r="N9" s="74"/>
      <c r="O9" s="74"/>
      <c r="P9" s="74"/>
      <c r="Q9" s="74"/>
      <c r="R9" s="74"/>
      <c r="S9" s="74"/>
    </row>
    <row r="10" spans="1:19" ht="12.75" customHeight="1" x14ac:dyDescent="0.2">
      <c r="A10" s="66" t="s">
        <v>152</v>
      </c>
      <c r="B10" s="70" t="s">
        <v>145</v>
      </c>
      <c r="C10" s="66" t="str">
        <f t="shared" si="0"/>
        <v>Construção de Praças Urbanas, Rodovias, Ferrovias e recapeamento e pavimentação de vias urbanas-R</v>
      </c>
      <c r="E10" s="71">
        <v>5.0000000000000001E-3</v>
      </c>
      <c r="F10" s="71">
        <v>5.6000000000000008E-3</v>
      </c>
      <c r="G10" s="71">
        <v>9.7000000000000003E-3</v>
      </c>
      <c r="I10" s="687"/>
      <c r="J10" s="703" t="s">
        <v>153</v>
      </c>
      <c r="K10" s="703"/>
      <c r="L10" s="703"/>
      <c r="M10" s="703"/>
      <c r="N10" s="703"/>
      <c r="O10" s="703"/>
      <c r="P10" s="703"/>
      <c r="Q10" s="703"/>
      <c r="R10" s="701">
        <v>1</v>
      </c>
      <c r="S10" s="701"/>
    </row>
    <row r="11" spans="1:19" ht="12.75" customHeight="1" x14ac:dyDescent="0.2">
      <c r="A11" s="66" t="s">
        <v>152</v>
      </c>
      <c r="B11" s="70" t="s">
        <v>148</v>
      </c>
      <c r="C11" s="66" t="str">
        <f t="shared" si="0"/>
        <v>Construção de Praças Urbanas, Rodovias, Ferrovias e recapeamento e pavimentação de vias urbanas-DF</v>
      </c>
      <c r="E11" s="71">
        <v>1.0200000000000001E-2</v>
      </c>
      <c r="F11" s="71">
        <v>1.11E-2</v>
      </c>
      <c r="G11" s="71">
        <v>1.21E-2</v>
      </c>
      <c r="I11" s="136" t="s">
        <v>217</v>
      </c>
      <c r="J11" s="700" t="s">
        <v>154</v>
      </c>
      <c r="K11" s="700"/>
      <c r="L11" s="700"/>
      <c r="M11" s="700"/>
      <c r="N11" s="700"/>
      <c r="O11" s="700"/>
      <c r="P11" s="700"/>
      <c r="Q11" s="700"/>
      <c r="R11" s="701">
        <v>0.02</v>
      </c>
      <c r="S11" s="701"/>
    </row>
    <row r="12" spans="1:19" x14ac:dyDescent="0.2">
      <c r="A12" s="66" t="s">
        <v>152</v>
      </c>
      <c r="B12" s="70" t="s">
        <v>149</v>
      </c>
      <c r="C12" s="66" t="str">
        <f t="shared" si="0"/>
        <v>Construção de Praças Urbanas, Rodovias, Ferrovias e recapeamento e pavimentação de vias urbanas-L</v>
      </c>
      <c r="E12" s="71">
        <v>6.6400000000000001E-2</v>
      </c>
      <c r="F12" s="71">
        <v>7.2999999999999995E-2</v>
      </c>
      <c r="G12" s="71">
        <v>8.6899999999999991E-2</v>
      </c>
      <c r="I12" t="s">
        <v>246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</row>
    <row r="13" spans="1:19" ht="25.5" x14ac:dyDescent="0.2">
      <c r="A13" s="66" t="s">
        <v>152</v>
      </c>
      <c r="B13" s="75" t="s">
        <v>150</v>
      </c>
      <c r="C13" s="66" t="str">
        <f t="shared" si="0"/>
        <v>Construção de Praças Urbanas, Rodovias, Ferrovias e recapeamento e pavimentação de vias urbanas-BDI PAD</v>
      </c>
      <c r="E13" s="71">
        <v>0.19600000000000001</v>
      </c>
      <c r="F13" s="71">
        <v>0.2097</v>
      </c>
      <c r="G13" s="71">
        <v>0.24230000000000002</v>
      </c>
      <c r="I13" t="s">
        <v>246</v>
      </c>
    </row>
    <row r="14" spans="1:19" ht="15.75" x14ac:dyDescent="0.25">
      <c r="A14" s="66" t="s">
        <v>155</v>
      </c>
      <c r="B14" s="70" t="s">
        <v>142</v>
      </c>
      <c r="C14" s="66" t="str">
        <f t="shared" si="0"/>
        <v>Construção de Redes de Abastecimento de Água, Coleta de Esgoto-AC</v>
      </c>
      <c r="E14" s="71">
        <v>3.4300000000000004E-2</v>
      </c>
      <c r="F14" s="71">
        <v>4.9299999999999997E-2</v>
      </c>
      <c r="G14" s="71">
        <v>6.7099999999999993E-2</v>
      </c>
      <c r="I14" t="s">
        <v>246</v>
      </c>
      <c r="J14" s="696" t="s">
        <v>156</v>
      </c>
      <c r="K14" s="696"/>
      <c r="L14" s="696"/>
      <c r="M14" s="696"/>
      <c r="N14" s="696"/>
      <c r="O14" s="696"/>
      <c r="P14" s="696"/>
      <c r="Q14" s="696"/>
      <c r="R14" s="696"/>
      <c r="S14" s="696"/>
    </row>
    <row r="15" spans="1:19" x14ac:dyDescent="0.2">
      <c r="A15" s="66" t="str">
        <f>A14</f>
        <v>Construção de Redes de Abastecimento de Água, Coleta de Esgoto</v>
      </c>
      <c r="B15" s="70" t="s">
        <v>144</v>
      </c>
      <c r="C15" s="66" t="str">
        <f t="shared" si="0"/>
        <v>Construção de Redes de Abastecimento de Água, Coleta de Esgoto-SG</v>
      </c>
      <c r="E15" s="71">
        <v>2.8000000000000004E-3</v>
      </c>
      <c r="F15" s="71">
        <v>4.8999999999999998E-3</v>
      </c>
      <c r="G15" s="71">
        <v>7.4999999999999997E-3</v>
      </c>
      <c r="I15" t="s">
        <v>246</v>
      </c>
    </row>
    <row r="16" spans="1:19" x14ac:dyDescent="0.2">
      <c r="A16" s="66" t="str">
        <f>A15</f>
        <v>Construção de Redes de Abastecimento de Água, Coleta de Esgoto</v>
      </c>
      <c r="B16" s="70" t="s">
        <v>145</v>
      </c>
      <c r="C16" s="66" t="str">
        <f t="shared" si="0"/>
        <v>Construção de Redes de Abastecimento de Água, Coleta de Esgoto-R</v>
      </c>
      <c r="E16" s="71">
        <v>0.01</v>
      </c>
      <c r="F16" s="71">
        <v>1.3899999999999999E-2</v>
      </c>
      <c r="G16" s="71">
        <v>1.7399999999999999E-2</v>
      </c>
      <c r="I16" t="s">
        <v>246</v>
      </c>
      <c r="J16" s="694" t="s">
        <v>157</v>
      </c>
      <c r="K16" s="694"/>
      <c r="L16" s="694"/>
      <c r="M16" s="694"/>
      <c r="N16" s="694"/>
      <c r="O16" s="694"/>
      <c r="P16" s="694"/>
      <c r="Q16" s="694"/>
      <c r="R16" s="694"/>
      <c r="S16" s="694"/>
    </row>
    <row r="17" spans="1:26" x14ac:dyDescent="0.2">
      <c r="A17" s="66" t="str">
        <f>A16</f>
        <v>Construção de Redes de Abastecimento de Água, Coleta de Esgoto</v>
      </c>
      <c r="B17" s="70" t="s">
        <v>148</v>
      </c>
      <c r="C17" s="66" t="str">
        <f t="shared" si="0"/>
        <v>Construção de Redes de Abastecimento de Água, Coleta de Esgoto-DF</v>
      </c>
      <c r="E17" s="71">
        <v>9.3999999999999986E-3</v>
      </c>
      <c r="F17" s="71">
        <v>9.8999999999999991E-3</v>
      </c>
      <c r="G17" s="71">
        <v>1.1699999999999999E-2</v>
      </c>
      <c r="I17" t="s">
        <v>246</v>
      </c>
      <c r="J17" s="695" t="s">
        <v>152</v>
      </c>
      <c r="K17" s="695"/>
      <c r="L17" s="695"/>
      <c r="M17" s="695"/>
      <c r="N17" s="695"/>
      <c r="O17" s="695"/>
      <c r="P17" s="695"/>
      <c r="Q17" s="695"/>
      <c r="R17" s="695"/>
      <c r="S17" s="695"/>
    </row>
    <row r="18" spans="1:26" x14ac:dyDescent="0.2">
      <c r="A18" s="66" t="str">
        <f>A17</f>
        <v>Construção de Redes de Abastecimento de Água, Coleta de Esgoto</v>
      </c>
      <c r="B18" s="70" t="s">
        <v>149</v>
      </c>
      <c r="C18" s="66" t="str">
        <f t="shared" si="0"/>
        <v>Construção de Redes de Abastecimento de Água, Coleta de Esgoto-L</v>
      </c>
      <c r="E18" s="71">
        <v>6.7400000000000002E-2</v>
      </c>
      <c r="F18" s="71">
        <v>8.0399999999999985E-2</v>
      </c>
      <c r="G18" s="71">
        <v>9.4E-2</v>
      </c>
      <c r="I18" t="s">
        <v>246</v>
      </c>
    </row>
    <row r="19" spans="1:26" ht="12.75" customHeight="1" x14ac:dyDescent="0.2">
      <c r="A19" s="66" t="str">
        <f>A18</f>
        <v>Construção de Redes de Abastecimento de Água, Coleta de Esgoto</v>
      </c>
      <c r="B19" s="75" t="s">
        <v>150</v>
      </c>
      <c r="C19" s="66" t="str">
        <f t="shared" si="0"/>
        <v>Construção de Redes de Abastecimento de Água, Coleta de Esgoto-BDI PAD</v>
      </c>
      <c r="E19" s="71">
        <v>0.20760000000000001</v>
      </c>
      <c r="F19" s="71">
        <v>0.24179999999999999</v>
      </c>
      <c r="G19" s="71">
        <v>0.26440000000000002</v>
      </c>
      <c r="I19" t="s">
        <v>246</v>
      </c>
      <c r="J19" s="693" t="s">
        <v>158</v>
      </c>
      <c r="K19" s="693"/>
      <c r="L19" s="693"/>
      <c r="M19" s="693"/>
      <c r="N19" s="693"/>
      <c r="O19" s="693"/>
      <c r="P19" s="693"/>
      <c r="Q19" s="693"/>
      <c r="R19" s="693" t="s">
        <v>159</v>
      </c>
      <c r="S19" s="684" t="s">
        <v>160</v>
      </c>
      <c r="U19" s="684" t="s">
        <v>161</v>
      </c>
      <c r="V19" s="684"/>
      <c r="W19" s="684"/>
      <c r="X19" s="692" t="s">
        <v>162</v>
      </c>
      <c r="Y19" s="692" t="s">
        <v>163</v>
      </c>
      <c r="Z19" s="692" t="s">
        <v>164</v>
      </c>
    </row>
    <row r="20" spans="1:26" ht="12.75" customHeight="1" x14ac:dyDescent="0.2">
      <c r="A20" s="66" t="s">
        <v>165</v>
      </c>
      <c r="B20" s="70" t="s">
        <v>142</v>
      </c>
      <c r="C20" s="66" t="str">
        <f t="shared" si="0"/>
        <v>Construção e Manutenção de Estações e Redes de Distribuição de Energia Elétrica-AC</v>
      </c>
      <c r="E20" s="71">
        <v>5.2900000000000003E-2</v>
      </c>
      <c r="F20" s="71">
        <v>5.9200000000000003E-2</v>
      </c>
      <c r="G20" s="71">
        <v>7.9299999999999995E-2</v>
      </c>
      <c r="I20" t="s">
        <v>246</v>
      </c>
      <c r="J20" s="693"/>
      <c r="K20" s="693"/>
      <c r="L20" s="693"/>
      <c r="M20" s="693"/>
      <c r="N20" s="693"/>
      <c r="O20" s="693"/>
      <c r="P20" s="693"/>
      <c r="Q20" s="693"/>
      <c r="R20" s="693"/>
      <c r="S20" s="684"/>
      <c r="U20" s="684"/>
      <c r="V20" s="684"/>
      <c r="W20" s="684"/>
      <c r="X20" s="692"/>
      <c r="Y20" s="692"/>
      <c r="Z20" s="692"/>
    </row>
    <row r="21" spans="1:26" ht="15" customHeight="1" x14ac:dyDescent="0.2">
      <c r="A21" s="66" t="str">
        <f>A20</f>
        <v>Construção e Manutenção de Estações e Redes de Distribuição de Energia Elétrica</v>
      </c>
      <c r="B21" s="70" t="s">
        <v>144</v>
      </c>
      <c r="C21" s="66" t="str">
        <f t="shared" si="0"/>
        <v>Construção e Manutenção de Estações e Redes de Distribuição de Energia Elétrica-SG</v>
      </c>
      <c r="E21" s="71">
        <v>2.5000000000000001E-3</v>
      </c>
      <c r="F21" s="71">
        <v>5.1000000000000004E-3</v>
      </c>
      <c r="G21" s="71">
        <v>5.6000000000000008E-3</v>
      </c>
      <c r="I21" t="s">
        <v>246</v>
      </c>
      <c r="J21" s="682" t="str">
        <f>IF($J$17=$A$146,"Encargos Sociais incidentes sobre a mão de obra","Administração Central")</f>
        <v>Administração Central</v>
      </c>
      <c r="K21" s="682"/>
      <c r="L21" s="682"/>
      <c r="M21" s="682"/>
      <c r="N21" s="682"/>
      <c r="O21" s="682"/>
      <c r="P21" s="682"/>
      <c r="Q21" s="682"/>
      <c r="R21" s="77" t="str">
        <f>IF($J17=$A$146,"K1","AC")</f>
        <v>AC</v>
      </c>
      <c r="S21" s="78">
        <v>4.0099999999999997E-2</v>
      </c>
      <c r="U21" s="683" t="s">
        <v>166</v>
      </c>
      <c r="V21" s="683"/>
      <c r="W21" s="683"/>
      <c r="X21" s="79">
        <f>VLOOKUP(CONCATENATE(J17,"-",R21),$C$2:$G$136,3,FALSE)</f>
        <v>3.7999999999999999E-2</v>
      </c>
      <c r="Y21" s="79">
        <f>VLOOKUP(CONCATENATE(J17,"-",R21),$C$2:$G$136,4,FALSE)</f>
        <v>4.0099999999999997E-2</v>
      </c>
      <c r="Z21" s="79">
        <f>VLOOKUP(CONCATENATE(J17,"-",R21),$C$2:$G$136,5,FALSE)</f>
        <v>4.6699999999999998E-2</v>
      </c>
    </row>
    <row r="22" spans="1:26" ht="15" customHeight="1" x14ac:dyDescent="0.2">
      <c r="A22" s="66" t="str">
        <f>A21</f>
        <v>Construção e Manutenção de Estações e Redes de Distribuição de Energia Elétrica</v>
      </c>
      <c r="B22" s="70" t="s">
        <v>145</v>
      </c>
      <c r="C22" s="66" t="str">
        <f t="shared" si="0"/>
        <v>Construção e Manutenção de Estações e Redes de Distribuição de Energia Elétrica-R</v>
      </c>
      <c r="E22" s="71">
        <v>0.01</v>
      </c>
      <c r="F22" s="71">
        <v>1.4800000000000001E-2</v>
      </c>
      <c r="G22" s="71">
        <v>1.9699999999999999E-2</v>
      </c>
      <c r="I22" t="s">
        <v>246</v>
      </c>
      <c r="J22" s="682" t="str">
        <f>IF($J$17=$A$146,"Administração Central da empresa ou consultoria - overhead","Seguro e Garantia")</f>
        <v>Seguro e Garantia</v>
      </c>
      <c r="K22" s="682"/>
      <c r="L22" s="682"/>
      <c r="M22" s="682"/>
      <c r="N22" s="682"/>
      <c r="O22" s="682"/>
      <c r="P22" s="682"/>
      <c r="Q22" s="682"/>
      <c r="R22" s="77" t="str">
        <f>IF($J17=$A$146,"K2","SG")</f>
        <v>SG</v>
      </c>
      <c r="S22" s="78">
        <v>4.0000000000000001E-3</v>
      </c>
      <c r="U22" s="683" t="s">
        <v>166</v>
      </c>
      <c r="V22" s="683"/>
      <c r="W22" s="683"/>
      <c r="X22" s="79">
        <f>VLOOKUP(CONCATENATE(J17,"-",R22),$C$2:$G$136,3,FALSE)</f>
        <v>3.2000000000000002E-3</v>
      </c>
      <c r="Y22" s="79">
        <f>VLOOKUP(CONCATENATE(J17,"-",R22),$C$2:$G$136,4,FALSE)</f>
        <v>4.0000000000000001E-3</v>
      </c>
      <c r="Z22" s="79">
        <f>VLOOKUP(CONCATENATE(J17,"-",R22),$C$2:$G$136,5,FALSE)</f>
        <v>7.4000000000000003E-3</v>
      </c>
    </row>
    <row r="23" spans="1:26" ht="15" customHeight="1" x14ac:dyDescent="0.2">
      <c r="A23" s="66" t="str">
        <f>A22</f>
        <v>Construção e Manutenção de Estações e Redes de Distribuição de Energia Elétrica</v>
      </c>
      <c r="B23" s="70" t="s">
        <v>148</v>
      </c>
      <c r="C23" s="66" t="str">
        <f t="shared" si="0"/>
        <v>Construção e Manutenção de Estações e Redes de Distribuição de Energia Elétrica-DF</v>
      </c>
      <c r="E23" s="71">
        <v>1.01E-2</v>
      </c>
      <c r="F23" s="71">
        <v>1.0700000000000001E-2</v>
      </c>
      <c r="G23" s="71">
        <v>1.11E-2</v>
      </c>
      <c r="I23" t="s">
        <v>246</v>
      </c>
      <c r="J23" s="682" t="str">
        <f>IF($J$17=$A$146,"","Risco")</f>
        <v>Risco</v>
      </c>
      <c r="K23" s="682"/>
      <c r="L23" s="682"/>
      <c r="M23" s="682"/>
      <c r="N23" s="682"/>
      <c r="O23" s="682"/>
      <c r="P23" s="682"/>
      <c r="Q23" s="682"/>
      <c r="R23" s="77" t="str">
        <f>IF($J17=$A$146,"","R")</f>
        <v>R</v>
      </c>
      <c r="S23" s="78">
        <v>5.5999999999999999E-3</v>
      </c>
      <c r="U23" s="683" t="s">
        <v>166</v>
      </c>
      <c r="V23" s="683"/>
      <c r="W23" s="683"/>
      <c r="X23" s="79">
        <f>VLOOKUP(CONCATENATE(J17,"-",R23),$C$2:$G$136,3,FALSE)</f>
        <v>5.0000000000000001E-3</v>
      </c>
      <c r="Y23" s="79">
        <f>VLOOKUP(CONCATENATE(J17,"-",R23),$C$2:$G$136,4,FALSE)</f>
        <v>5.6000000000000008E-3</v>
      </c>
      <c r="Z23" s="79">
        <f>VLOOKUP(CONCATENATE(J17,"-",R23),$C$2:$G$136,5,FALSE)</f>
        <v>9.7000000000000003E-3</v>
      </c>
    </row>
    <row r="24" spans="1:26" ht="15" customHeight="1" x14ac:dyDescent="0.2">
      <c r="A24" s="66" t="str">
        <f>A23</f>
        <v>Construção e Manutenção de Estações e Redes de Distribuição de Energia Elétrica</v>
      </c>
      <c r="B24" s="70" t="s">
        <v>149</v>
      </c>
      <c r="C24" s="66" t="str">
        <f t="shared" si="0"/>
        <v>Construção e Manutenção de Estações e Redes de Distribuição de Energia Elétrica-L</v>
      </c>
      <c r="E24" s="71">
        <v>0.08</v>
      </c>
      <c r="F24" s="71">
        <v>8.3100000000000007E-2</v>
      </c>
      <c r="G24" s="71">
        <v>9.5100000000000004E-2</v>
      </c>
      <c r="I24" t="s">
        <v>246</v>
      </c>
      <c r="J24" s="682" t="str">
        <f>IF($J$17=$A$146,"","Despesas Financeiras")</f>
        <v>Despesas Financeiras</v>
      </c>
      <c r="K24" s="682"/>
      <c r="L24" s="682"/>
      <c r="M24" s="682"/>
      <c r="N24" s="682"/>
      <c r="O24" s="682"/>
      <c r="P24" s="682"/>
      <c r="Q24" s="682"/>
      <c r="R24" s="77" t="str">
        <f>IF($J17=$A$146,"","DF")</f>
        <v>DF</v>
      </c>
      <c r="S24" s="78">
        <v>1.11E-2</v>
      </c>
      <c r="U24" s="683" t="s">
        <v>166</v>
      </c>
      <c r="V24" s="683"/>
      <c r="W24" s="683"/>
      <c r="X24" s="79">
        <f>VLOOKUP(CONCATENATE(J17,"-",R24),$C$2:$G$136,3,FALSE)</f>
        <v>1.0200000000000001E-2</v>
      </c>
      <c r="Y24" s="79">
        <f>VLOOKUP(CONCATENATE(J17,"-",R24),$C$2:$G$136,4,FALSE)</f>
        <v>1.11E-2</v>
      </c>
      <c r="Z24" s="79">
        <f>VLOOKUP(CONCATENATE(J17,"-",R24),$C$2:$G$136,5,FALSE)</f>
        <v>1.21E-2</v>
      </c>
    </row>
    <row r="25" spans="1:26" ht="15" customHeight="1" x14ac:dyDescent="0.2">
      <c r="A25" s="66" t="str">
        <f>A24</f>
        <v>Construção e Manutenção de Estações e Redes de Distribuição de Energia Elétrica</v>
      </c>
      <c r="B25" s="75" t="s">
        <v>150</v>
      </c>
      <c r="C25" s="66" t="str">
        <f t="shared" si="0"/>
        <v>Construção e Manutenção de Estações e Redes de Distribuição de Energia Elétrica-BDI PAD</v>
      </c>
      <c r="E25" s="71">
        <v>0.24</v>
      </c>
      <c r="F25" s="71">
        <v>0.25840000000000002</v>
      </c>
      <c r="G25" s="71">
        <v>0.27860000000000001</v>
      </c>
      <c r="I25" t="s">
        <v>246</v>
      </c>
      <c r="J25" s="682" t="str">
        <f>IF($J$17=$A$146,"Margem bruta da empresa de consultoria","Lucro")</f>
        <v>Lucro</v>
      </c>
      <c r="K25" s="682"/>
      <c r="L25" s="682"/>
      <c r="M25" s="682"/>
      <c r="N25" s="682"/>
      <c r="O25" s="682"/>
      <c r="P25" s="682"/>
      <c r="Q25" s="682"/>
      <c r="R25" s="77" t="str">
        <f>IF($J17=$A$146,"K3","L")</f>
        <v>L</v>
      </c>
      <c r="S25" s="78">
        <v>7.2999999999999995E-2</v>
      </c>
      <c r="U25" s="683" t="s">
        <v>166</v>
      </c>
      <c r="V25" s="683"/>
      <c r="W25" s="683"/>
      <c r="X25" s="79">
        <f>VLOOKUP(CONCATENATE(J17,"-",R25),$C$2:$G$136,3,FALSE)</f>
        <v>6.6400000000000001E-2</v>
      </c>
      <c r="Y25" s="79">
        <f>VLOOKUP(CONCATENATE(J17,"-",R25),$C$2:$G$136,4,FALSE)</f>
        <v>7.2999999999999995E-2</v>
      </c>
      <c r="Z25" s="79">
        <f>VLOOKUP(CONCATENATE(J17,"-",R25),$C$2:$G$136,5,FALSE)</f>
        <v>8.6899999999999991E-2</v>
      </c>
    </row>
    <row r="26" spans="1:26" ht="15" customHeight="1" x14ac:dyDescent="0.2">
      <c r="A26" s="66" t="s">
        <v>167</v>
      </c>
      <c r="B26" s="70" t="s">
        <v>142</v>
      </c>
      <c r="C26" s="66" t="str">
        <f t="shared" si="0"/>
        <v>Obras Portuárias, Marítimas e Fluviais-AC</v>
      </c>
      <c r="E26" s="71">
        <v>0.04</v>
      </c>
      <c r="F26" s="71">
        <v>5.5199999999999999E-2</v>
      </c>
      <c r="G26" s="71">
        <v>7.85E-2</v>
      </c>
      <c r="I26" t="s">
        <v>246</v>
      </c>
      <c r="J26" s="682" t="s">
        <v>168</v>
      </c>
      <c r="K26" s="682"/>
      <c r="L26" s="682"/>
      <c r="M26" s="682"/>
      <c r="N26" s="682"/>
      <c r="O26" s="682"/>
      <c r="P26" s="682"/>
      <c r="Q26" s="682"/>
      <c r="R26" s="77" t="s">
        <v>169</v>
      </c>
      <c r="S26" s="78">
        <v>3.6499999999999998E-2</v>
      </c>
      <c r="U26" s="683" t="s">
        <v>166</v>
      </c>
      <c r="V26" s="683"/>
      <c r="W26" s="683"/>
      <c r="X26" s="79">
        <v>3.6499999999999998E-2</v>
      </c>
      <c r="Y26" s="79">
        <v>3.6499999999999998E-2</v>
      </c>
      <c r="Z26" s="79">
        <v>3.6499999999999998E-2</v>
      </c>
    </row>
    <row r="27" spans="1:26" ht="15" customHeight="1" x14ac:dyDescent="0.2">
      <c r="A27" s="66" t="str">
        <f>A26</f>
        <v>Obras Portuárias, Marítimas e Fluviais</v>
      </c>
      <c r="B27" s="70" t="s">
        <v>144</v>
      </c>
      <c r="C27" s="66" t="str">
        <f t="shared" si="0"/>
        <v>Obras Portuárias, Marítimas e Fluviais-SG</v>
      </c>
      <c r="E27" s="71">
        <v>8.1000000000000013E-3</v>
      </c>
      <c r="F27" s="71">
        <v>1.2199999999999999E-2</v>
      </c>
      <c r="G27" s="71">
        <v>1.9900000000000001E-2</v>
      </c>
      <c r="I27" t="s">
        <v>246</v>
      </c>
      <c r="J27" s="682" t="s">
        <v>170</v>
      </c>
      <c r="K27" s="682"/>
      <c r="L27" s="682"/>
      <c r="M27" s="682"/>
      <c r="N27" s="682"/>
      <c r="O27" s="682"/>
      <c r="P27" s="682"/>
      <c r="Q27" s="682"/>
      <c r="R27" s="77" t="s">
        <v>171</v>
      </c>
      <c r="S27" s="79">
        <f ca="1">IF(AND($J17&lt;&gt;$A$145,COUNTA(OFFSET(S20,1,0,6))&gt;0),$R$11*$R$10,0)</f>
        <v>0.02</v>
      </c>
      <c r="U27" s="683" t="s">
        <v>166</v>
      </c>
      <c r="V27" s="683"/>
      <c r="W27" s="683"/>
      <c r="X27" s="79">
        <v>0</v>
      </c>
      <c r="Y27" s="79">
        <v>2.5000000000000001E-2</v>
      </c>
      <c r="Z27" s="79">
        <v>0.05</v>
      </c>
    </row>
    <row r="28" spans="1:26" ht="15" customHeight="1" x14ac:dyDescent="0.2">
      <c r="A28" s="66" t="str">
        <f>A27</f>
        <v>Obras Portuárias, Marítimas e Fluviais</v>
      </c>
      <c r="B28" s="70" t="s">
        <v>145</v>
      </c>
      <c r="C28" s="66" t="str">
        <f t="shared" si="0"/>
        <v>Obras Portuárias, Marítimas e Fluviais-R</v>
      </c>
      <c r="E28" s="71">
        <v>1.46E-2</v>
      </c>
      <c r="F28" s="71">
        <v>2.3199999999999998E-2</v>
      </c>
      <c r="G28" s="71">
        <v>3.1600000000000003E-2</v>
      </c>
      <c r="I28" t="s">
        <v>246</v>
      </c>
      <c r="J28" s="682" t="s">
        <v>172</v>
      </c>
      <c r="K28" s="682"/>
      <c r="L28" s="682"/>
      <c r="M28" s="682"/>
      <c r="N28" s="682"/>
      <c r="O28" s="682"/>
      <c r="P28" s="682"/>
      <c r="Q28" s="682"/>
      <c r="R28" s="77" t="s">
        <v>173</v>
      </c>
      <c r="S28" s="79">
        <f ca="1">IF(BDI.Opcao&lt;&gt;"Desonerado",0,IF(AND($J17&lt;&gt;$A$145,COUNTA(OFFSET(S20,1,0,6))&gt;0),4.5%,0%))</f>
        <v>4.4999999999999998E-2</v>
      </c>
      <c r="U28" s="683" t="s">
        <v>166</v>
      </c>
      <c r="V28" s="683"/>
      <c r="W28" s="683"/>
      <c r="X28" s="80">
        <v>0</v>
      </c>
      <c r="Y28" s="80">
        <v>4.4999999999999998E-2</v>
      </c>
      <c r="Z28" s="80">
        <v>4.4999999999999998E-2</v>
      </c>
    </row>
    <row r="29" spans="1:26" ht="15" customHeight="1" x14ac:dyDescent="0.2">
      <c r="A29" s="66" t="str">
        <f>A28</f>
        <v>Obras Portuárias, Marítimas e Fluviais</v>
      </c>
      <c r="B29" s="70" t="s">
        <v>148</v>
      </c>
      <c r="C29" s="66" t="str">
        <f t="shared" si="0"/>
        <v>Obras Portuárias, Marítimas e Fluviais-DF</v>
      </c>
      <c r="E29" s="71">
        <v>9.3999999999999986E-3</v>
      </c>
      <c r="F29" s="71">
        <v>1.0200000000000001E-2</v>
      </c>
      <c r="G29" s="71">
        <v>1.3300000000000001E-2</v>
      </c>
      <c r="I29" t="s">
        <v>246</v>
      </c>
      <c r="J29" s="682" t="s">
        <v>174</v>
      </c>
      <c r="K29" s="682"/>
      <c r="L29" s="682"/>
      <c r="M29" s="682"/>
      <c r="N29" s="682"/>
      <c r="O29" s="682"/>
      <c r="P29" s="682"/>
      <c r="Q29" s="682"/>
      <c r="R29" s="81" t="s">
        <v>150</v>
      </c>
      <c r="S29" s="79">
        <f ca="1">IF($J17=$A$145,0,ROUND((((1+S21+S22+S23)*(1+S24)*(1+S25)/(1-(S26+S27)))-1),4))</f>
        <v>0.20699999999999999</v>
      </c>
      <c r="U29" s="684" t="str">
        <f ca="1">IF(OR($J$17=$A$146,$J$17=$A$145,AND(S29&gt;=X29,S29&lt;=Z29)),"OK","FORA DO INTERVALO")</f>
        <v>OK</v>
      </c>
      <c r="V29" s="684"/>
      <c r="W29" s="684"/>
      <c r="X29" s="79">
        <f>IF($J17=$A$145,0,VLOOKUP(CONCATENATE($J17,"-",$R29),$C$2:$G$136,3,FALSE))</f>
        <v>0.19600000000000001</v>
      </c>
      <c r="Y29" s="79">
        <f>IF($J17=$A$145,0,VLOOKUP(CONCATENATE($J17,"-",$R29),$C$2:$G$136,4,FALSE))</f>
        <v>0.2097</v>
      </c>
      <c r="Z29" s="79">
        <f>IF($J17=$A$145,0,VLOOKUP(CONCATENATE($J17,"-",$R29),$C$2:$G$136,5,FALSE))</f>
        <v>0.24230000000000002</v>
      </c>
    </row>
    <row r="30" spans="1:26" ht="15" customHeight="1" x14ac:dyDescent="0.2">
      <c r="A30" s="66" t="str">
        <f>A29</f>
        <v>Obras Portuárias, Marítimas e Fluviais</v>
      </c>
      <c r="B30" s="70" t="s">
        <v>149</v>
      </c>
      <c r="C30" s="66" t="str">
        <f t="shared" si="0"/>
        <v>Obras Portuárias, Marítimas e Fluviais-L</v>
      </c>
      <c r="E30" s="71">
        <v>7.1399999999999991E-2</v>
      </c>
      <c r="F30" s="71">
        <v>8.4000000000000005E-2</v>
      </c>
      <c r="G30" s="71">
        <v>0.1043</v>
      </c>
      <c r="I30" t="s">
        <v>246</v>
      </c>
      <c r="J30" s="685" t="s">
        <v>175</v>
      </c>
      <c r="K30" s="685"/>
      <c r="L30" s="685"/>
      <c r="M30" s="685"/>
      <c r="N30" s="685"/>
      <c r="O30" s="685"/>
      <c r="P30" s="685"/>
      <c r="Q30" s="685"/>
      <c r="R30" s="82" t="s">
        <v>176</v>
      </c>
      <c r="S30" s="83">
        <f ca="1">IF($J17=$A$145,0,ROUND((((1+S21+S22+S23)*(1+S24)*(1+S25)/(1-(S26+S27+S28)))-1),4))</f>
        <v>0.26750000000000002</v>
      </c>
    </row>
    <row r="31" spans="1:26" ht="25.5" x14ac:dyDescent="0.2">
      <c r="A31" s="66" t="str">
        <f>A30</f>
        <v>Obras Portuárias, Marítimas e Fluviais</v>
      </c>
      <c r="B31" s="75" t="s">
        <v>150</v>
      </c>
      <c r="C31" s="66" t="str">
        <f t="shared" si="0"/>
        <v>Obras Portuárias, Marítimas e Fluviais-BDI PAD</v>
      </c>
      <c r="E31" s="71">
        <v>0.22800000000000001</v>
      </c>
      <c r="F31" s="71">
        <v>0.27479999999999999</v>
      </c>
      <c r="G31" s="71">
        <v>0.3095</v>
      </c>
      <c r="I31" t="s">
        <v>246</v>
      </c>
    </row>
    <row r="32" spans="1:26" ht="15.75" x14ac:dyDescent="0.2">
      <c r="A32" s="66" t="s">
        <v>177</v>
      </c>
      <c r="B32" s="70" t="s">
        <v>142</v>
      </c>
      <c r="C32" s="66" t="str">
        <f t="shared" si="0"/>
        <v>Fornecimento de Materiais e Equipamentos (aquisição indireta - em conjunto com licitação de obras)-AC</v>
      </c>
      <c r="E32" s="71">
        <v>1.4999999999999999E-2</v>
      </c>
      <c r="F32" s="71">
        <v>3.4500000000000003E-2</v>
      </c>
      <c r="G32" s="71">
        <v>4.4900000000000002E-2</v>
      </c>
      <c r="I32" t="s">
        <v>246</v>
      </c>
      <c r="J32" s="84" t="str">
        <f ca="1">IF(U29&lt;&gt;"ok","X","")</f>
        <v/>
      </c>
      <c r="K32" s="686" t="str">
        <f ca="1">IF(U29&lt;&gt;"ok","Anexo: Relatório Técnico Circunstanciado justificando a adoção do percentual de cada parcela do BDI.","")</f>
        <v/>
      </c>
      <c r="L32" s="686"/>
      <c r="M32" s="686"/>
      <c r="N32" s="686"/>
      <c r="O32" s="686"/>
      <c r="P32" s="686"/>
      <c r="Q32" s="686"/>
      <c r="R32" s="686"/>
      <c r="S32" s="686"/>
    </row>
    <row r="33" spans="1:19" x14ac:dyDescent="0.2">
      <c r="A33" s="66" t="str">
        <f>A32</f>
        <v>Fornecimento de Materiais e Equipamentos (aquisição indireta - em conjunto com licitação de obras)</v>
      </c>
      <c r="B33" s="70" t="s">
        <v>144</v>
      </c>
      <c r="C33" s="66" t="str">
        <f t="shared" si="0"/>
        <v>Fornecimento de Materiais e Equipamentos (aquisição indireta - em conjunto com licitação de obras)-SG</v>
      </c>
      <c r="E33" s="71">
        <v>3.0000000000000001E-3</v>
      </c>
      <c r="F33" s="71">
        <v>4.7999999999999996E-3</v>
      </c>
      <c r="G33" s="71">
        <v>8.199999999999999E-3</v>
      </c>
      <c r="I33" t="s">
        <v>246</v>
      </c>
    </row>
    <row r="34" spans="1:19" x14ac:dyDescent="0.2">
      <c r="A34" s="66" t="str">
        <f>A33</f>
        <v>Fornecimento de Materiais e Equipamentos (aquisição indireta - em conjunto com licitação de obras)</v>
      </c>
      <c r="B34" s="70" t="s">
        <v>145</v>
      </c>
      <c r="C34" s="66" t="str">
        <f t="shared" si="0"/>
        <v>Fornecimento de Materiais e Equipamentos (aquisição indireta - em conjunto com licitação de obras)-R</v>
      </c>
      <c r="E34" s="71">
        <v>5.6000000000000008E-3</v>
      </c>
      <c r="F34" s="71">
        <v>8.5000000000000006E-3</v>
      </c>
      <c r="G34" s="71">
        <v>8.8999999999999999E-3</v>
      </c>
      <c r="I34" t="s">
        <v>246</v>
      </c>
      <c r="J34" s="688" t="s">
        <v>178</v>
      </c>
      <c r="K34" s="688"/>
      <c r="L34" s="688"/>
      <c r="M34" s="688"/>
      <c r="N34" s="688"/>
      <c r="O34" s="688"/>
      <c r="P34" s="688"/>
      <c r="Q34" s="688"/>
      <c r="R34" s="688"/>
      <c r="S34" s="688"/>
    </row>
    <row r="35" spans="1:19" ht="15.75" x14ac:dyDescent="0.25">
      <c r="A35" s="66" t="str">
        <f>A34</f>
        <v>Fornecimento de Materiais e Equipamentos (aquisição indireta - em conjunto com licitação de obras)</v>
      </c>
      <c r="B35" s="70" t="s">
        <v>148</v>
      </c>
      <c r="C35" s="66" t="str">
        <f t="shared" si="0"/>
        <v>Fornecimento de Materiais e Equipamentos (aquisição indireta - em conjunto com licitação de obras)-DF</v>
      </c>
      <c r="E35" s="71">
        <v>8.5000000000000006E-3</v>
      </c>
      <c r="F35" s="71">
        <v>8.5000000000000006E-3</v>
      </c>
      <c r="G35" s="71">
        <v>1.11E-2</v>
      </c>
      <c r="I35" t="s">
        <v>246</v>
      </c>
      <c r="J35" s="85"/>
      <c r="K35" s="85"/>
      <c r="L35" s="85"/>
      <c r="M35" s="689" t="s">
        <v>179</v>
      </c>
      <c r="N35" s="690" t="str">
        <f>IF($J17=$A$146,"(1+K1+K2)*(1+K3)","(1+AC + S + R + G)*(1 + DF)*(1+L)")</f>
        <v>(1+AC + S + R + G)*(1 + DF)*(1+L)</v>
      </c>
      <c r="O35" s="690"/>
      <c r="P35" s="690"/>
      <c r="Q35" s="691" t="s">
        <v>180</v>
      </c>
      <c r="R35" s="85"/>
      <c r="S35" s="85"/>
    </row>
    <row r="36" spans="1:19" ht="15.75" x14ac:dyDescent="0.2">
      <c r="A36" s="66" t="str">
        <f>A35</f>
        <v>Fornecimento de Materiais e Equipamentos (aquisição indireta - em conjunto com licitação de obras)</v>
      </c>
      <c r="B36" s="70" t="s">
        <v>149</v>
      </c>
      <c r="C36" s="66" t="str">
        <f t="shared" si="0"/>
        <v>Fornecimento de Materiais e Equipamentos (aquisição indireta - em conjunto com licitação de obras)-L</v>
      </c>
      <c r="E36" s="71">
        <v>3.5000000000000003E-2</v>
      </c>
      <c r="F36" s="71">
        <v>5.1100000000000007E-2</v>
      </c>
      <c r="G36" s="71">
        <v>6.2199999999999998E-2</v>
      </c>
      <c r="I36" t="s">
        <v>246</v>
      </c>
      <c r="J36" s="85"/>
      <c r="K36" s="85"/>
      <c r="L36" s="85"/>
      <c r="M36" s="689"/>
      <c r="N36" s="681" t="s">
        <v>181</v>
      </c>
      <c r="O36" s="681"/>
      <c r="P36" s="681"/>
      <c r="Q36" s="691"/>
      <c r="R36" s="85"/>
      <c r="S36" s="85"/>
    </row>
    <row r="37" spans="1:19" ht="15" customHeight="1" x14ac:dyDescent="0.2">
      <c r="A37" s="66" t="str">
        <f>A36</f>
        <v>Fornecimento de Materiais e Equipamentos (aquisição indireta - em conjunto com licitação de obras)</v>
      </c>
      <c r="B37" s="75" t="s">
        <v>150</v>
      </c>
      <c r="C37" s="66" t="str">
        <f t="shared" si="0"/>
        <v>Fornecimento de Materiais e Equipamentos (aquisição indireta - em conjunto com licitação de obras)-BDI PAD</v>
      </c>
      <c r="E37" s="71">
        <v>0.111</v>
      </c>
      <c r="F37" s="71">
        <v>0.14019999999999999</v>
      </c>
      <c r="G37" s="71">
        <v>0.16800000000000001</v>
      </c>
      <c r="I37" t="s">
        <v>246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</row>
    <row r="38" spans="1:19" ht="50.1" customHeight="1" x14ac:dyDescent="0.2">
      <c r="A38" s="66" t="s">
        <v>182</v>
      </c>
      <c r="B38" s="75" t="s">
        <v>142</v>
      </c>
      <c r="C38" s="66" t="str">
        <f t="shared" si="0"/>
        <v>Fornecimento de Materiais e Equipamentos (aquisição direta)-AC</v>
      </c>
      <c r="E38" s="71" t="s">
        <v>166</v>
      </c>
      <c r="F38" s="71" t="s">
        <v>166</v>
      </c>
      <c r="G38" s="71" t="s">
        <v>166</v>
      </c>
      <c r="I38" t="s">
        <v>246</v>
      </c>
      <c r="J38" s="675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38" s="675"/>
      <c r="L38" s="675"/>
      <c r="M38" s="675"/>
      <c r="N38" s="675"/>
      <c r="O38" s="675"/>
      <c r="P38" s="675"/>
      <c r="Q38" s="675"/>
      <c r="R38" s="675"/>
      <c r="S38" s="675"/>
    </row>
    <row r="39" spans="1:19" x14ac:dyDescent="0.2">
      <c r="A39" s="66" t="s">
        <v>182</v>
      </c>
      <c r="B39" s="75" t="s">
        <v>144</v>
      </c>
      <c r="C39" s="66" t="str">
        <f t="shared" si="0"/>
        <v>Fornecimento de Materiais e Equipamentos (aquisição direta)-SG</v>
      </c>
      <c r="E39" s="71" t="s">
        <v>166</v>
      </c>
      <c r="F39" s="71" t="s">
        <v>166</v>
      </c>
      <c r="G39" s="71" t="s">
        <v>166</v>
      </c>
      <c r="I39" t="s">
        <v>246</v>
      </c>
    </row>
    <row r="40" spans="1:19" ht="50.1" customHeight="1" x14ac:dyDescent="0.2">
      <c r="A40" s="66" t="s">
        <v>182</v>
      </c>
      <c r="B40" s="75" t="s">
        <v>145</v>
      </c>
      <c r="C40" s="66" t="str">
        <f t="shared" si="0"/>
        <v>Fornecimento de Materiais e Equipamentos (aquisição direta)-R</v>
      </c>
      <c r="E40" s="71" t="s">
        <v>166</v>
      </c>
      <c r="F40" s="71" t="s">
        <v>166</v>
      </c>
      <c r="G40" s="71" t="s">
        <v>166</v>
      </c>
      <c r="I40" t="s">
        <v>246</v>
      </c>
      <c r="J40" s="675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40" s="675"/>
      <c r="L40" s="675"/>
      <c r="M40" s="675"/>
      <c r="N40" s="675"/>
      <c r="O40" s="675"/>
      <c r="P40" s="675"/>
      <c r="Q40" s="675"/>
      <c r="R40" s="675"/>
      <c r="S40" s="675"/>
    </row>
    <row r="41" spans="1:19" x14ac:dyDescent="0.2">
      <c r="A41" s="66" t="s">
        <v>182</v>
      </c>
      <c r="B41" s="75" t="s">
        <v>148</v>
      </c>
      <c r="C41" s="66" t="str">
        <f t="shared" si="0"/>
        <v>Fornecimento de Materiais e Equipamentos (aquisição direta)-DF</v>
      </c>
      <c r="E41" s="71" t="s">
        <v>166</v>
      </c>
      <c r="F41" s="71" t="s">
        <v>166</v>
      </c>
      <c r="G41" s="71" t="s">
        <v>166</v>
      </c>
      <c r="I41" t="s">
        <v>246</v>
      </c>
    </row>
    <row r="42" spans="1:19" x14ac:dyDescent="0.2">
      <c r="A42" s="66" t="s">
        <v>182</v>
      </c>
      <c r="B42" s="75" t="s">
        <v>149</v>
      </c>
      <c r="C42" s="66" t="str">
        <f t="shared" si="0"/>
        <v>Fornecimento de Materiais e Equipamentos (aquisição direta)-L</v>
      </c>
      <c r="E42" s="71" t="s">
        <v>166</v>
      </c>
      <c r="F42" s="71" t="s">
        <v>166</v>
      </c>
      <c r="G42" s="71" t="s">
        <v>166</v>
      </c>
      <c r="I42" t="s">
        <v>246</v>
      </c>
      <c r="J42" s="66" t="s">
        <v>187</v>
      </c>
    </row>
    <row r="43" spans="1:19" ht="99.95" customHeight="1" x14ac:dyDescent="0.2">
      <c r="A43" s="66" t="s">
        <v>182</v>
      </c>
      <c r="B43" s="75" t="s">
        <v>150</v>
      </c>
      <c r="C43" s="66" t="str">
        <f t="shared" si="0"/>
        <v>Fornecimento de Materiais e Equipamentos (aquisição direta)-BDI PAD</v>
      </c>
      <c r="E43" s="71" t="s">
        <v>166</v>
      </c>
      <c r="F43" s="71" t="s">
        <v>166</v>
      </c>
      <c r="G43" s="71" t="s">
        <v>166</v>
      </c>
      <c r="I43" t="s">
        <v>246</v>
      </c>
      <c r="J43" s="676"/>
      <c r="K43" s="676"/>
      <c r="L43" s="676"/>
      <c r="M43" s="676"/>
      <c r="N43" s="676"/>
      <c r="O43" s="676"/>
      <c r="P43" s="676"/>
      <c r="Q43" s="676"/>
      <c r="R43" s="676"/>
      <c r="S43" s="676"/>
    </row>
    <row r="44" spans="1:19" x14ac:dyDescent="0.2">
      <c r="A44" s="66" t="s">
        <v>183</v>
      </c>
      <c r="B44" s="70" t="s">
        <v>184</v>
      </c>
      <c r="C44" s="66" t="str">
        <f t="shared" si="0"/>
        <v>Estudos e Projetos, Planos e Gerenciamento e outros correlatos-K1</v>
      </c>
      <c r="E44" s="71" t="s">
        <v>166</v>
      </c>
      <c r="F44" s="71" t="s">
        <v>166</v>
      </c>
      <c r="G44" s="71" t="s">
        <v>166</v>
      </c>
      <c r="I44" t="s">
        <v>246</v>
      </c>
    </row>
    <row r="45" spans="1:19" x14ac:dyDescent="0.2">
      <c r="A45" s="66" t="str">
        <f>A44</f>
        <v>Estudos e Projetos, Planos e Gerenciamento e outros correlatos</v>
      </c>
      <c r="B45" s="70" t="s">
        <v>185</v>
      </c>
      <c r="C45" s="66" t="str">
        <f t="shared" si="0"/>
        <v>Estudos e Projetos, Planos e Gerenciamento e outros correlatos-K2</v>
      </c>
      <c r="E45" s="71" t="s">
        <v>166</v>
      </c>
      <c r="F45" s="71">
        <v>0.2</v>
      </c>
      <c r="G45" s="71" t="s">
        <v>166</v>
      </c>
      <c r="I45" t="s">
        <v>246</v>
      </c>
      <c r="J45" s="677" t="str">
        <f>Import.Município</f>
        <v xml:space="preserve">SÃO FRANCISCO </v>
      </c>
      <c r="K45" s="677"/>
      <c r="L45" s="677"/>
      <c r="M45" s="677"/>
      <c r="P45" s="678">
        <f ca="1">DADOS!$F$25</f>
        <v>45737</v>
      </c>
      <c r="Q45" s="678"/>
      <c r="R45" s="678"/>
      <c r="S45" s="678"/>
    </row>
    <row r="46" spans="1:19" x14ac:dyDescent="0.2">
      <c r="A46" s="66" t="str">
        <f>A45</f>
        <v>Estudos e Projetos, Planos e Gerenciamento e outros correlatos</v>
      </c>
      <c r="B46" s="70"/>
      <c r="C46" s="66" t="str">
        <f t="shared" si="0"/>
        <v>Estudos e Projetos, Planos e Gerenciamento e outros correlatos-</v>
      </c>
      <c r="E46" s="71" t="s">
        <v>166</v>
      </c>
      <c r="F46" s="71" t="s">
        <v>166</v>
      </c>
      <c r="G46" s="71" t="s">
        <v>166</v>
      </c>
      <c r="I46" t="s">
        <v>246</v>
      </c>
      <c r="J46" s="679" t="s">
        <v>188</v>
      </c>
      <c r="K46" s="679"/>
      <c r="L46" s="679"/>
      <c r="M46" s="679"/>
      <c r="O46" s="90"/>
      <c r="P46" s="91" t="s">
        <v>189</v>
      </c>
      <c r="Q46" s="92"/>
      <c r="R46" s="92"/>
      <c r="S46" s="92"/>
    </row>
    <row r="47" spans="1:19" ht="30" customHeight="1" x14ac:dyDescent="0.2">
      <c r="A47" s="66" t="str">
        <f>A46</f>
        <v>Estudos e Projetos, Planos e Gerenciamento e outros correlatos</v>
      </c>
      <c r="B47" s="70"/>
      <c r="C47" s="66" t="str">
        <f t="shared" si="0"/>
        <v>Estudos e Projetos, Planos e Gerenciamento e outros correlatos-</v>
      </c>
      <c r="E47" s="71" t="s">
        <v>166</v>
      </c>
      <c r="F47" s="71" t="s">
        <v>166</v>
      </c>
      <c r="G47" s="71" t="s">
        <v>166</v>
      </c>
      <c r="I47" t="s">
        <v>246</v>
      </c>
    </row>
    <row r="48" spans="1:19" ht="15" x14ac:dyDescent="0.2">
      <c r="A48" s="66" t="str">
        <f>A47</f>
        <v>Estudos e Projetos, Planos e Gerenciamento e outros correlatos</v>
      </c>
      <c r="B48" s="70" t="s">
        <v>186</v>
      </c>
      <c r="C48" s="66" t="str">
        <f t="shared" si="0"/>
        <v>Estudos e Projetos, Planos e Gerenciamento e outros correlatos-K3</v>
      </c>
      <c r="E48" s="71" t="s">
        <v>166</v>
      </c>
      <c r="F48" s="71">
        <v>0.12</v>
      </c>
      <c r="G48" s="71" t="s">
        <v>166</v>
      </c>
      <c r="I48" t="s">
        <v>246</v>
      </c>
      <c r="J48" s="680"/>
      <c r="K48" s="680"/>
      <c r="L48" s="680"/>
      <c r="M48" s="680"/>
      <c r="N48" s="93"/>
    </row>
    <row r="49" spans="1:26" ht="12.75" customHeight="1" x14ac:dyDescent="0.2">
      <c r="A49" s="66" t="str">
        <f>A48</f>
        <v>Estudos e Projetos, Planos e Gerenciamento e outros correlatos</v>
      </c>
      <c r="B49" s="75" t="s">
        <v>150</v>
      </c>
      <c r="C49" s="66" t="str">
        <f t="shared" si="0"/>
        <v>Estudos e Projetos, Planos e Gerenciamento e outros correlatos-BDI PAD</v>
      </c>
      <c r="E49" s="71" t="s">
        <v>166</v>
      </c>
      <c r="F49" s="71" t="s">
        <v>166</v>
      </c>
      <c r="G49" s="71" t="s">
        <v>166</v>
      </c>
      <c r="I49" t="s">
        <v>246</v>
      </c>
      <c r="J49" s="674" t="s">
        <v>190</v>
      </c>
      <c r="K49" s="674"/>
      <c r="L49" s="674"/>
      <c r="M49" s="674"/>
      <c r="N49" s="94"/>
    </row>
    <row r="50" spans="1:26" ht="14.25" x14ac:dyDescent="0.2">
      <c r="B50" s="75"/>
      <c r="E50" s="71"/>
      <c r="F50" s="71"/>
      <c r="G50" s="71"/>
      <c r="I50" t="s">
        <v>246</v>
      </c>
      <c r="J50" s="95" t="s">
        <v>108</v>
      </c>
      <c r="K50" s="96" t="str">
        <f t="array" ref="K50:K52">Import.RespOrçamento</f>
        <v>KÁREN MARIANA SOARES VIEIRA</v>
      </c>
      <c r="L50" s="97"/>
      <c r="M50" s="97"/>
      <c r="N50" s="98"/>
    </row>
    <row r="51" spans="1:26" ht="14.25" x14ac:dyDescent="0.2">
      <c r="A51"/>
      <c r="B51"/>
      <c r="C51"/>
      <c r="D51"/>
      <c r="E51"/>
      <c r="F51"/>
      <c r="G51"/>
      <c r="I51" t="s">
        <v>246</v>
      </c>
      <c r="J51" s="95" t="s">
        <v>109</v>
      </c>
      <c r="K51" s="96" t="str">
        <v>332.425/D-MG</v>
      </c>
      <c r="L51" s="97"/>
      <c r="M51" s="97"/>
      <c r="N51" s="98"/>
    </row>
    <row r="52" spans="1:26" ht="14.25" x14ac:dyDescent="0.2">
      <c r="A52"/>
      <c r="B52"/>
      <c r="C52"/>
      <c r="D52"/>
      <c r="E52"/>
      <c r="F52"/>
      <c r="G52"/>
      <c r="I52" t="s">
        <v>246</v>
      </c>
      <c r="J52" s="95" t="s">
        <v>110</v>
      </c>
      <c r="K52" s="96" t="str">
        <v>MG20242766780</v>
      </c>
      <c r="L52" s="97"/>
      <c r="M52" s="97"/>
      <c r="N52" s="98"/>
    </row>
    <row r="53" spans="1:26" ht="14.25" x14ac:dyDescent="0.2">
      <c r="A53"/>
      <c r="B53"/>
      <c r="C53"/>
      <c r="D53"/>
      <c r="E53"/>
      <c r="F53"/>
      <c r="G53"/>
      <c r="I53" t="s">
        <v>246</v>
      </c>
      <c r="J53" s="95"/>
      <c r="K53" s="99"/>
      <c r="L53" s="97"/>
      <c r="M53" s="97"/>
      <c r="N53" s="98"/>
    </row>
    <row r="54" spans="1:26" ht="15.75" x14ac:dyDescent="0.25">
      <c r="A54"/>
      <c r="B54"/>
      <c r="C54"/>
      <c r="D54"/>
      <c r="E54"/>
      <c r="F54"/>
      <c r="G54"/>
      <c r="I54" t="str">
        <f ca="1">IF($S$69=0,"","F")</f>
        <v/>
      </c>
      <c r="J54" s="696" t="s">
        <v>191</v>
      </c>
      <c r="K54" s="696"/>
      <c r="L54" s="696"/>
      <c r="M54" s="696"/>
      <c r="N54" s="696"/>
      <c r="O54" s="696"/>
      <c r="P54" s="696"/>
      <c r="Q54" s="696"/>
      <c r="R54" s="696"/>
      <c r="S54" s="696"/>
    </row>
    <row r="55" spans="1:26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x14ac:dyDescent="0.2">
      <c r="A56"/>
      <c r="B56"/>
      <c r="C56"/>
      <c r="D56"/>
      <c r="E56"/>
      <c r="F56"/>
      <c r="G56"/>
      <c r="I56" t="str">
        <f t="shared" ca="1" si="1"/>
        <v/>
      </c>
      <c r="J56" s="694" t="s">
        <v>157</v>
      </c>
      <c r="K56" s="694"/>
      <c r="L56" s="694"/>
      <c r="M56" s="694"/>
      <c r="N56" s="694"/>
      <c r="O56" s="694"/>
      <c r="P56" s="694"/>
      <c r="Q56" s="694"/>
      <c r="R56" s="694"/>
      <c r="S56" s="694"/>
    </row>
    <row r="57" spans="1:26" x14ac:dyDescent="0.2">
      <c r="A57"/>
      <c r="B57"/>
      <c r="C57"/>
      <c r="D57"/>
      <c r="E57"/>
      <c r="F57"/>
      <c r="G57"/>
      <c r="I57" t="str">
        <f t="shared" ca="1" si="1"/>
        <v/>
      </c>
      <c r="J57" s="695" t="s">
        <v>409</v>
      </c>
      <c r="K57" s="695"/>
      <c r="L57" s="695"/>
      <c r="M57" s="695"/>
      <c r="N57" s="695"/>
      <c r="O57" s="695"/>
      <c r="P57" s="695"/>
      <c r="Q57" s="695"/>
      <c r="R57" s="695"/>
      <c r="S57" s="695"/>
    </row>
    <row r="58" spans="1:26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93" t="s">
        <v>158</v>
      </c>
      <c r="K59" s="693"/>
      <c r="L59" s="693"/>
      <c r="M59" s="693"/>
      <c r="N59" s="693"/>
      <c r="O59" s="693"/>
      <c r="P59" s="693"/>
      <c r="Q59" s="693"/>
      <c r="R59" s="693" t="s">
        <v>159</v>
      </c>
      <c r="S59" s="684" t="s">
        <v>160</v>
      </c>
      <c r="U59" s="684" t="s">
        <v>161</v>
      </c>
      <c r="V59" s="684"/>
      <c r="W59" s="684"/>
      <c r="X59" s="692" t="s">
        <v>162</v>
      </c>
      <c r="Y59" s="692" t="s">
        <v>163</v>
      </c>
      <c r="Z59" s="692" t="s">
        <v>164</v>
      </c>
    </row>
    <row r="60" spans="1:26" ht="12.75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93"/>
      <c r="K60" s="693"/>
      <c r="L60" s="693"/>
      <c r="M60" s="693"/>
      <c r="N60" s="693"/>
      <c r="O60" s="693"/>
      <c r="P60" s="693"/>
      <c r="Q60" s="693"/>
      <c r="R60" s="693"/>
      <c r="S60" s="684"/>
      <c r="U60" s="684"/>
      <c r="V60" s="684"/>
      <c r="W60" s="684"/>
      <c r="X60" s="692"/>
      <c r="Y60" s="692"/>
      <c r="Z60" s="692"/>
    </row>
    <row r="61" spans="1:26" ht="15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82" t="str">
        <f>IF($J$17=$A$146,"Encargos Sociais incidentes sobre a mão de obra","Administração Central")</f>
        <v>Administração Central</v>
      </c>
      <c r="K61" s="682"/>
      <c r="L61" s="682"/>
      <c r="M61" s="682"/>
      <c r="N61" s="682"/>
      <c r="O61" s="682"/>
      <c r="P61" s="682"/>
      <c r="Q61" s="682"/>
      <c r="R61" s="77" t="str">
        <f>IF($J57=$A$146,"K1","AC")</f>
        <v>AC</v>
      </c>
      <c r="S61" s="78"/>
      <c r="U61" s="683" t="s">
        <v>166</v>
      </c>
      <c r="V61" s="683"/>
      <c r="W61" s="683"/>
      <c r="X61" s="79" t="e">
        <f>VLOOKUP(CONCATENATE(J57,"-",R61),$C$2:$G$136,3,FALSE)</f>
        <v>#N/A</v>
      </c>
      <c r="Y61" s="79" t="e">
        <f>VLOOKUP(CONCATENATE(J57,"-",R61),$C$2:$G$136,4,FALSE)</f>
        <v>#N/A</v>
      </c>
      <c r="Z61" s="79" t="e">
        <f>VLOOKUP(CONCATENATE(J57,"-",R61),$C$2:$G$136,5,FALSE)</f>
        <v>#N/A</v>
      </c>
    </row>
    <row r="62" spans="1:26" ht="15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82" t="str">
        <f>IF($J$17=$A$146,"Administração Central da empresa ou consultoria - overhead","Seguro e Garantia")</f>
        <v>Seguro e Garantia</v>
      </c>
      <c r="K62" s="682"/>
      <c r="L62" s="682"/>
      <c r="M62" s="682"/>
      <c r="N62" s="682"/>
      <c r="O62" s="682"/>
      <c r="P62" s="682"/>
      <c r="Q62" s="682"/>
      <c r="R62" s="77" t="str">
        <f>IF($J57=$A$146,"K2","SG")</f>
        <v>SG</v>
      </c>
      <c r="S62" s="78"/>
      <c r="U62" s="683" t="s">
        <v>166</v>
      </c>
      <c r="V62" s="683"/>
      <c r="W62" s="683"/>
      <c r="X62" s="79" t="e">
        <f>VLOOKUP(CONCATENATE(J57,"-",R62),$C$2:$G$136,3,FALSE)</f>
        <v>#N/A</v>
      </c>
      <c r="Y62" s="79" t="e">
        <f>VLOOKUP(CONCATENATE(J57,"-",R62),$C$2:$G$136,4,FALSE)</f>
        <v>#N/A</v>
      </c>
      <c r="Z62" s="79" t="e">
        <f>VLOOKUP(CONCATENATE(J57,"-",R62),$C$2:$G$136,5,FALSE)</f>
        <v>#N/A</v>
      </c>
    </row>
    <row r="63" spans="1:26" ht="15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82" t="str">
        <f>IF($J$17=$A$146,"","Risco")</f>
        <v>Risco</v>
      </c>
      <c r="K63" s="682"/>
      <c r="L63" s="682"/>
      <c r="M63" s="682"/>
      <c r="N63" s="682"/>
      <c r="O63" s="682"/>
      <c r="P63" s="682"/>
      <c r="Q63" s="682"/>
      <c r="R63" s="77" t="str">
        <f>IF($J57=$A$146,"","R")</f>
        <v>R</v>
      </c>
      <c r="S63" s="78"/>
      <c r="U63" s="683" t="s">
        <v>166</v>
      </c>
      <c r="V63" s="683"/>
      <c r="W63" s="683"/>
      <c r="X63" s="79" t="e">
        <f>VLOOKUP(CONCATENATE(J57,"-",R63),$C$2:$G$136,3,FALSE)</f>
        <v>#N/A</v>
      </c>
      <c r="Y63" s="79" t="e">
        <f>VLOOKUP(CONCATENATE(J57,"-",R63),$C$2:$G$136,4,FALSE)</f>
        <v>#N/A</v>
      </c>
      <c r="Z63" s="79" t="e">
        <f>VLOOKUP(CONCATENATE(J57,"-",R63),$C$2:$G$136,5,FALSE)</f>
        <v>#N/A</v>
      </c>
    </row>
    <row r="64" spans="1:26" ht="15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82" t="str">
        <f>IF($J$17=$A$146,"","Despesas Financeiras")</f>
        <v>Despesas Financeiras</v>
      </c>
      <c r="K64" s="682"/>
      <c r="L64" s="682"/>
      <c r="M64" s="682"/>
      <c r="N64" s="682"/>
      <c r="O64" s="682"/>
      <c r="P64" s="682"/>
      <c r="Q64" s="682"/>
      <c r="R64" s="77" t="str">
        <f>IF($J57=$A$146,"","DF")</f>
        <v>DF</v>
      </c>
      <c r="S64" s="78"/>
      <c r="U64" s="683" t="s">
        <v>166</v>
      </c>
      <c r="V64" s="683"/>
      <c r="W64" s="683"/>
      <c r="X64" s="79" t="e">
        <f>VLOOKUP(CONCATENATE(J57,"-",R64),$C$2:$G$136,3,FALSE)</f>
        <v>#N/A</v>
      </c>
      <c r="Y64" s="79" t="e">
        <f>VLOOKUP(CONCATENATE(J57,"-",R64),$C$2:$G$136,4,FALSE)</f>
        <v>#N/A</v>
      </c>
      <c r="Z64" s="79" t="e">
        <f>VLOOKUP(CONCATENATE(J57,"-",R64),$C$2:$G$136,5,FALSE)</f>
        <v>#N/A</v>
      </c>
    </row>
    <row r="65" spans="1:26" ht="15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82" t="str">
        <f>IF($J$17=$A$146,"Margem bruta da empresa de consultoria","Lucro")</f>
        <v>Lucro</v>
      </c>
      <c r="K65" s="682"/>
      <c r="L65" s="682"/>
      <c r="M65" s="682"/>
      <c r="N65" s="682"/>
      <c r="O65" s="682"/>
      <c r="P65" s="682"/>
      <c r="Q65" s="682"/>
      <c r="R65" s="77" t="str">
        <f>IF($J57=$A$146,"K3","L")</f>
        <v>L</v>
      </c>
      <c r="S65" s="78"/>
      <c r="U65" s="683" t="s">
        <v>166</v>
      </c>
      <c r="V65" s="683"/>
      <c r="W65" s="683"/>
      <c r="X65" s="79" t="e">
        <f>VLOOKUP(CONCATENATE(J57,"-",R65),$C$2:$G$136,3,FALSE)</f>
        <v>#N/A</v>
      </c>
      <c r="Y65" s="79" t="e">
        <f>VLOOKUP(CONCATENATE(J57,"-",R65),$C$2:$G$136,4,FALSE)</f>
        <v>#N/A</v>
      </c>
      <c r="Z65" s="79" t="e">
        <f>VLOOKUP(CONCATENATE(J57,"-",R65),$C$2:$G$136,5,FALSE)</f>
        <v>#N/A</v>
      </c>
    </row>
    <row r="66" spans="1:26" ht="15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82" t="s">
        <v>168</v>
      </c>
      <c r="K66" s="682"/>
      <c r="L66" s="682"/>
      <c r="M66" s="682"/>
      <c r="N66" s="682"/>
      <c r="O66" s="682"/>
      <c r="P66" s="682"/>
      <c r="Q66" s="682"/>
      <c r="R66" s="77" t="s">
        <v>169</v>
      </c>
      <c r="S66" s="78"/>
      <c r="U66" s="683" t="s">
        <v>166</v>
      </c>
      <c r="V66" s="683"/>
      <c r="W66" s="683"/>
      <c r="X66" s="79">
        <v>3.6499999999999998E-2</v>
      </c>
      <c r="Y66" s="79">
        <v>3.6499999999999998E-2</v>
      </c>
      <c r="Z66" s="79">
        <v>3.6499999999999998E-2</v>
      </c>
    </row>
    <row r="67" spans="1:26" ht="15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82" t="s">
        <v>170</v>
      </c>
      <c r="K67" s="682"/>
      <c r="L67" s="682"/>
      <c r="M67" s="682"/>
      <c r="N67" s="682"/>
      <c r="O67" s="682"/>
      <c r="P67" s="682"/>
      <c r="Q67" s="682"/>
      <c r="R67" s="77" t="s">
        <v>171</v>
      </c>
      <c r="S67" s="79">
        <f ca="1">IF(AND($J57&lt;&gt;$A$145,COUNTA(OFFSET(S60,1,0,6))&gt;0),$R$11*$R$10,0)</f>
        <v>0</v>
      </c>
      <c r="U67" s="683" t="s">
        <v>166</v>
      </c>
      <c r="V67" s="683"/>
      <c r="W67" s="683"/>
      <c r="X67" s="79">
        <v>0</v>
      </c>
      <c r="Y67" s="79">
        <v>2.5000000000000001E-2</v>
      </c>
      <c r="Z67" s="79">
        <v>0.05</v>
      </c>
    </row>
    <row r="68" spans="1:26" ht="15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82" t="s">
        <v>172</v>
      </c>
      <c r="K68" s="682"/>
      <c r="L68" s="682"/>
      <c r="M68" s="682"/>
      <c r="N68" s="682"/>
      <c r="O68" s="682"/>
      <c r="P68" s="682"/>
      <c r="Q68" s="682"/>
      <c r="R68" s="77" t="s">
        <v>173</v>
      </c>
      <c r="S68" s="79">
        <f ca="1">IF(BDI.Opcao&lt;&gt;"Desonerado",0,IF(AND($J57&lt;&gt;$A$145,COUNTA(OFFSET(S60,1,0,6))&gt;0),4.5%,0%))</f>
        <v>0</v>
      </c>
      <c r="U68" s="683" t="s">
        <v>166</v>
      </c>
      <c r="V68" s="683"/>
      <c r="W68" s="683"/>
      <c r="X68" s="80">
        <v>0</v>
      </c>
      <c r="Y68" s="80">
        <v>4.4999999999999998E-2</v>
      </c>
      <c r="Z68" s="80">
        <v>4.4999999999999998E-2</v>
      </c>
    </row>
    <row r="69" spans="1:26" ht="15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82" t="s">
        <v>174</v>
      </c>
      <c r="K69" s="682"/>
      <c r="L69" s="682"/>
      <c r="M69" s="682"/>
      <c r="N69" s="682"/>
      <c r="O69" s="682"/>
      <c r="P69" s="682"/>
      <c r="Q69" s="682"/>
      <c r="R69" s="81" t="s">
        <v>150</v>
      </c>
      <c r="S69" s="79">
        <f ca="1">IF($J57=$A$145,0,ROUND((((1+S61+S62+S63)*(1+S64)*(1+S65)/(1-(S66+S67)))-1),4))</f>
        <v>0</v>
      </c>
      <c r="U69" s="684" t="e">
        <f ca="1">IF(OR($J$17=$A$146,$J$17=$A$145,AND(S69&gt;=X69,S69&lt;=Z69)),"OK","FORA DO INTERVALO")</f>
        <v>#N/A</v>
      </c>
      <c r="V69" s="684"/>
      <c r="W69" s="684"/>
      <c r="X69" s="79" t="e">
        <f>IF($J57=$A$145,0,VLOOKUP(CONCATENATE($J57,"-",$R69),$C$2:$G$136,3,FALSE))</f>
        <v>#N/A</v>
      </c>
      <c r="Y69" s="79" t="e">
        <f>IF($J57=$A$145,0,VLOOKUP(CONCATENATE($J57,"-",$R69),$C$2:$G$136,4,FALSE))</f>
        <v>#N/A</v>
      </c>
      <c r="Z69" s="79" t="e">
        <f>IF($J57=$A$145,0,VLOOKUP(CONCATENATE($J57,"-",$R69),$C$2:$G$136,5,FALSE))</f>
        <v>#N/A</v>
      </c>
    </row>
    <row r="70" spans="1:26" ht="15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85" t="s">
        <v>175</v>
      </c>
      <c r="K70" s="685"/>
      <c r="L70" s="685"/>
      <c r="M70" s="685"/>
      <c r="N70" s="685"/>
      <c r="O70" s="685"/>
      <c r="P70" s="685"/>
      <c r="Q70" s="685"/>
      <c r="R70" s="82" t="s">
        <v>176</v>
      </c>
      <c r="S70" s="83">
        <f ca="1">IF($J57=$A$145,0,ROUND((((1+S61+S62+S63)*(1+S64)*(1+S65)/(1-(S66+S67+S68)))-1),4))</f>
        <v>0</v>
      </c>
    </row>
    <row r="71" spans="1:26" ht="25.5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x14ac:dyDescent="0.2">
      <c r="A72"/>
      <c r="B72"/>
      <c r="C72"/>
      <c r="D72"/>
      <c r="E72"/>
      <c r="F72"/>
      <c r="G72"/>
      <c r="I72" t="str">
        <f t="shared" ca="1" si="1"/>
        <v/>
      </c>
      <c r="J72" s="84" t="e">
        <f ca="1">IF(U69&lt;&gt;"ok","X","")</f>
        <v>#N/A</v>
      </c>
      <c r="K72" s="686" t="e">
        <f ca="1">IF(U69&lt;&gt;"ok","Anexo: Relatório Técnico Circunstanciado justificando a adoção do percentual de cada parcela do BDI.","")</f>
        <v>#N/A</v>
      </c>
      <c r="L72" s="686"/>
      <c r="M72" s="686"/>
      <c r="N72" s="686"/>
      <c r="O72" s="686"/>
      <c r="P72" s="686"/>
      <c r="Q72" s="686"/>
      <c r="R72" s="686"/>
      <c r="S72" s="686"/>
    </row>
    <row r="73" spans="1:26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x14ac:dyDescent="0.2">
      <c r="A74"/>
      <c r="B74"/>
      <c r="C74"/>
      <c r="D74"/>
      <c r="E74"/>
      <c r="F74"/>
      <c r="G74"/>
      <c r="I74" t="str">
        <f t="shared" ca="1" si="1"/>
        <v/>
      </c>
      <c r="J74" s="688" t="s">
        <v>178</v>
      </c>
      <c r="K74" s="688"/>
      <c r="L74" s="688"/>
      <c r="M74" s="688"/>
      <c r="N74" s="688"/>
      <c r="O74" s="688"/>
      <c r="P74" s="688"/>
      <c r="Q74" s="688"/>
      <c r="R74" s="688"/>
      <c r="S74" s="688"/>
    </row>
    <row r="75" spans="1:26" ht="15.75" x14ac:dyDescent="0.25">
      <c r="A75"/>
      <c r="B75"/>
      <c r="C75"/>
      <c r="D75"/>
      <c r="E75"/>
      <c r="F75"/>
      <c r="G75"/>
      <c r="I75" t="str">
        <f t="shared" ca="1" si="1"/>
        <v/>
      </c>
      <c r="J75" s="85"/>
      <c r="K75" s="85"/>
      <c r="L75" s="85"/>
      <c r="M75" s="689" t="s">
        <v>179</v>
      </c>
      <c r="N75" s="690" t="str">
        <f>IF($J57=$A$146,"(1+K1+K2)*(1+K3)","(1+AC + S + R + G)*(1 + DF)*(1+L)")</f>
        <v>(1+AC + S + R + G)*(1 + DF)*(1+L)</v>
      </c>
      <c r="O75" s="690"/>
      <c r="P75" s="690"/>
      <c r="Q75" s="691" t="s">
        <v>180</v>
      </c>
      <c r="R75" s="85"/>
      <c r="S75" s="85"/>
    </row>
    <row r="76" spans="1:26" ht="15.75" x14ac:dyDescent="0.2">
      <c r="A76"/>
      <c r="B76"/>
      <c r="C76"/>
      <c r="D76"/>
      <c r="E76"/>
      <c r="F76"/>
      <c r="G76"/>
      <c r="I76" t="str">
        <f t="shared" ca="1" si="1"/>
        <v/>
      </c>
      <c r="J76" s="85"/>
      <c r="K76" s="85"/>
      <c r="L76" s="85"/>
      <c r="M76" s="689"/>
      <c r="N76" s="681" t="s">
        <v>181</v>
      </c>
      <c r="O76" s="681"/>
      <c r="P76" s="681"/>
      <c r="Q76" s="691"/>
      <c r="R76" s="85"/>
      <c r="S76" s="85"/>
    </row>
    <row r="77" spans="1:26" ht="15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85"/>
      <c r="K77" s="85"/>
      <c r="L77" s="85"/>
      <c r="M77" s="86"/>
      <c r="N77" s="88"/>
      <c r="O77" s="88"/>
      <c r="P77" s="88"/>
      <c r="Q77" s="87"/>
      <c r="R77" s="85"/>
      <c r="S77" s="85"/>
    </row>
    <row r="78" spans="1:26" ht="50.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675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78" s="675"/>
      <c r="L78" s="675"/>
      <c r="M78" s="675"/>
      <c r="N78" s="675"/>
      <c r="O78" s="675"/>
      <c r="P78" s="675"/>
      <c r="Q78" s="675"/>
      <c r="R78" s="675"/>
      <c r="S78" s="675"/>
    </row>
    <row r="79" spans="1:26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675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80" s="675"/>
      <c r="L80" s="675"/>
      <c r="M80" s="675"/>
      <c r="N80" s="675"/>
      <c r="O80" s="675"/>
      <c r="P80" s="675"/>
      <c r="Q80" s="675"/>
      <c r="R80" s="675"/>
      <c r="S80" s="675"/>
    </row>
    <row r="81" spans="1:19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x14ac:dyDescent="0.2">
      <c r="A82"/>
      <c r="B82"/>
      <c r="C82"/>
      <c r="D82"/>
      <c r="E82"/>
      <c r="F82"/>
      <c r="G82"/>
      <c r="I82" t="str">
        <f t="shared" ca="1" si="1"/>
        <v/>
      </c>
      <c r="J82" s="66" t="s">
        <v>187</v>
      </c>
    </row>
    <row r="83" spans="1:19" ht="99.95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76"/>
      <c r="K83" s="676"/>
      <c r="L83" s="676"/>
      <c r="M83" s="676"/>
      <c r="N83" s="676"/>
      <c r="O83" s="676"/>
      <c r="P83" s="676"/>
      <c r="Q83" s="676"/>
      <c r="R83" s="676"/>
      <c r="S83" s="676"/>
    </row>
    <row r="84" spans="1:19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x14ac:dyDescent="0.2">
      <c r="A85"/>
      <c r="B85"/>
      <c r="C85"/>
      <c r="D85"/>
      <c r="E85"/>
      <c r="F85"/>
      <c r="G85"/>
      <c r="I85" t="str">
        <f t="shared" ca="1" si="1"/>
        <v/>
      </c>
      <c r="J85" s="677" t="str">
        <f>Import.Município</f>
        <v xml:space="preserve">SÃO FRANCISCO </v>
      </c>
      <c r="K85" s="677"/>
      <c r="L85" s="677"/>
      <c r="M85" s="677"/>
      <c r="P85" s="678">
        <f ca="1">DADOS!$F$25</f>
        <v>45737</v>
      </c>
      <c r="Q85" s="678"/>
      <c r="R85" s="678"/>
      <c r="S85" s="678"/>
    </row>
    <row r="86" spans="1:19" x14ac:dyDescent="0.2">
      <c r="A86"/>
      <c r="B86"/>
      <c r="C86"/>
      <c r="D86"/>
      <c r="E86"/>
      <c r="F86"/>
      <c r="G86"/>
      <c r="I86" t="str">
        <f t="shared" ca="1" si="1"/>
        <v/>
      </c>
      <c r="J86" s="679" t="s">
        <v>188</v>
      </c>
      <c r="K86" s="679"/>
      <c r="L86" s="679"/>
      <c r="M86" s="679"/>
      <c r="O86" s="90"/>
      <c r="P86" s="91" t="s">
        <v>189</v>
      </c>
      <c r="Q86" s="92"/>
      <c r="R86" s="92"/>
      <c r="S86" s="92"/>
    </row>
    <row r="87" spans="1:19" ht="30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x14ac:dyDescent="0.2">
      <c r="A88"/>
      <c r="B88"/>
      <c r="C88"/>
      <c r="D88"/>
      <c r="E88"/>
      <c r="F88"/>
      <c r="G88"/>
      <c r="I88" t="str">
        <f t="shared" ca="1" si="1"/>
        <v/>
      </c>
      <c r="J88" s="680"/>
      <c r="K88" s="680"/>
      <c r="L88" s="680"/>
      <c r="M88" s="680"/>
      <c r="N88" s="93"/>
    </row>
    <row r="89" spans="1:19" x14ac:dyDescent="0.2">
      <c r="A89"/>
      <c r="B89"/>
      <c r="C89"/>
      <c r="D89"/>
      <c r="E89"/>
      <c r="F89"/>
      <c r="G89"/>
      <c r="I89" t="str">
        <f t="shared" ca="1" si="1"/>
        <v/>
      </c>
      <c r="J89" s="674" t="s">
        <v>190</v>
      </c>
      <c r="K89" s="674"/>
      <c r="L89" s="674"/>
      <c r="M89" s="674"/>
      <c r="N89" s="94"/>
    </row>
    <row r="90" spans="1:19" ht="14.25" x14ac:dyDescent="0.2">
      <c r="A90"/>
      <c r="B90"/>
      <c r="C90"/>
      <c r="D90"/>
      <c r="E90"/>
      <c r="F90"/>
      <c r="G90"/>
      <c r="I90" t="str">
        <f t="shared" ca="1" si="1"/>
        <v/>
      </c>
      <c r="J90" s="95" t="s">
        <v>108</v>
      </c>
      <c r="K90" s="96" t="str">
        <f t="array" ref="K90:K92">Import.RespOrçamento</f>
        <v>KÁREN MARIANA SOARES VIEIRA</v>
      </c>
      <c r="L90" s="97"/>
      <c r="M90" s="97"/>
      <c r="N90" s="98"/>
    </row>
    <row r="91" spans="1:19" ht="14.25" x14ac:dyDescent="0.2">
      <c r="A91"/>
      <c r="B91"/>
      <c r="C91"/>
      <c r="D91"/>
      <c r="E91"/>
      <c r="F91"/>
      <c r="G91"/>
      <c r="I91" t="str">
        <f t="shared" ca="1" si="1"/>
        <v/>
      </c>
      <c r="J91" s="95" t="s">
        <v>109</v>
      </c>
      <c r="K91" s="96" t="str">
        <v>332.425/D-MG</v>
      </c>
      <c r="L91" s="97"/>
      <c r="M91" s="97"/>
      <c r="N91" s="98"/>
    </row>
    <row r="92" spans="1:19" ht="14.25" x14ac:dyDescent="0.2">
      <c r="A92"/>
      <c r="B92"/>
      <c r="C92"/>
      <c r="D92"/>
      <c r="E92"/>
      <c r="F92"/>
      <c r="G92"/>
      <c r="I92" t="str">
        <f t="shared" ca="1" si="1"/>
        <v/>
      </c>
      <c r="J92" s="95" t="s">
        <v>110</v>
      </c>
      <c r="K92" s="96" t="str">
        <v>MG20242766780</v>
      </c>
      <c r="L92" s="97"/>
      <c r="M92" s="97"/>
      <c r="N92" s="98"/>
    </row>
    <row r="93" spans="1:19" ht="14.25" x14ac:dyDescent="0.2">
      <c r="A93"/>
      <c r="B93"/>
      <c r="C93"/>
      <c r="D93"/>
      <c r="E93"/>
      <c r="F93"/>
      <c r="G93"/>
      <c r="I93" t="str">
        <f t="shared" ca="1" si="1"/>
        <v/>
      </c>
      <c r="J93" s="95"/>
      <c r="K93" s="99"/>
      <c r="L93" s="97"/>
      <c r="M93" s="97"/>
      <c r="N93" s="98"/>
    </row>
    <row r="94" spans="1:19" ht="15.75" x14ac:dyDescent="0.25">
      <c r="A94"/>
      <c r="B94"/>
      <c r="C94"/>
      <c r="D94"/>
      <c r="E94"/>
      <c r="F94"/>
      <c r="G94"/>
      <c r="I94" t="str">
        <f ca="1">IF($S$109=0,"","F")</f>
        <v/>
      </c>
      <c r="J94" s="696" t="s">
        <v>192</v>
      </c>
      <c r="K94" s="696"/>
      <c r="L94" s="696"/>
      <c r="M94" s="696"/>
      <c r="N94" s="696"/>
      <c r="O94" s="696"/>
      <c r="P94" s="696"/>
      <c r="Q94" s="696"/>
      <c r="R94" s="696"/>
      <c r="S94" s="696"/>
    </row>
    <row r="95" spans="1:19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x14ac:dyDescent="0.2">
      <c r="A96"/>
      <c r="B96"/>
      <c r="C96"/>
      <c r="D96"/>
      <c r="E96"/>
      <c r="F96"/>
      <c r="G96"/>
      <c r="I96" t="str">
        <f t="shared" ca="1" si="2"/>
        <v/>
      </c>
      <c r="J96" s="694" t="s">
        <v>157</v>
      </c>
      <c r="K96" s="694"/>
      <c r="L96" s="694"/>
      <c r="M96" s="694"/>
      <c r="N96" s="694"/>
      <c r="O96" s="694"/>
      <c r="P96" s="694"/>
      <c r="Q96" s="694"/>
      <c r="R96" s="694"/>
      <c r="S96" s="694"/>
    </row>
    <row r="97" spans="1:26" x14ac:dyDescent="0.2">
      <c r="A97"/>
      <c r="B97"/>
      <c r="C97"/>
      <c r="D97"/>
      <c r="E97"/>
      <c r="F97"/>
      <c r="G97"/>
      <c r="I97" t="str">
        <f t="shared" ca="1" si="2"/>
        <v/>
      </c>
      <c r="J97" s="695" t="s">
        <v>409</v>
      </c>
      <c r="K97" s="695"/>
      <c r="L97" s="695"/>
      <c r="M97" s="695"/>
      <c r="N97" s="695"/>
      <c r="O97" s="695"/>
      <c r="P97" s="695"/>
      <c r="Q97" s="695"/>
      <c r="R97" s="695"/>
      <c r="S97" s="695"/>
    </row>
    <row r="98" spans="1:26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93" t="s">
        <v>158</v>
      </c>
      <c r="K99" s="693"/>
      <c r="L99" s="693"/>
      <c r="M99" s="693"/>
      <c r="N99" s="693"/>
      <c r="O99" s="693"/>
      <c r="P99" s="693"/>
      <c r="Q99" s="693"/>
      <c r="R99" s="693" t="s">
        <v>159</v>
      </c>
      <c r="S99" s="684" t="s">
        <v>160</v>
      </c>
      <c r="U99" s="684" t="s">
        <v>161</v>
      </c>
      <c r="V99" s="684"/>
      <c r="W99" s="684"/>
      <c r="X99" s="692" t="s">
        <v>162</v>
      </c>
      <c r="Y99" s="692" t="s">
        <v>163</v>
      </c>
      <c r="Z99" s="692" t="s">
        <v>164</v>
      </c>
    </row>
    <row r="100" spans="1:26" ht="12.75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93"/>
      <c r="K100" s="693"/>
      <c r="L100" s="693"/>
      <c r="M100" s="693"/>
      <c r="N100" s="693"/>
      <c r="O100" s="693"/>
      <c r="P100" s="693"/>
      <c r="Q100" s="693"/>
      <c r="R100" s="693"/>
      <c r="S100" s="684"/>
      <c r="U100" s="684"/>
      <c r="V100" s="684"/>
      <c r="W100" s="684"/>
      <c r="X100" s="692"/>
      <c r="Y100" s="692"/>
      <c r="Z100" s="692"/>
    </row>
    <row r="101" spans="1:26" ht="15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82" t="str">
        <f>IF($J$17=$A$146,"Encargos Sociais incidentes sobre a mão de obra","Administração Central")</f>
        <v>Administração Central</v>
      </c>
      <c r="K101" s="682"/>
      <c r="L101" s="682"/>
      <c r="M101" s="682"/>
      <c r="N101" s="682"/>
      <c r="O101" s="682"/>
      <c r="P101" s="682"/>
      <c r="Q101" s="682"/>
      <c r="R101" s="77" t="str">
        <f>IF($J97=$A$146,"K1","AC")</f>
        <v>AC</v>
      </c>
      <c r="S101" s="78"/>
      <c r="U101" s="683" t="s">
        <v>166</v>
      </c>
      <c r="V101" s="683"/>
      <c r="W101" s="683"/>
      <c r="X101" s="79" t="e">
        <f>VLOOKUP(CONCATENATE(J97,"-",R101),$C$2:$G$136,3,FALSE)</f>
        <v>#N/A</v>
      </c>
      <c r="Y101" s="79" t="e">
        <f>VLOOKUP(CONCATENATE(J97,"-",R101),$C$2:$G$136,4,FALSE)</f>
        <v>#N/A</v>
      </c>
      <c r="Z101" s="79" t="e">
        <f>VLOOKUP(CONCATENATE(J97,"-",R101),$C$2:$G$136,5,FALSE)</f>
        <v>#N/A</v>
      </c>
    </row>
    <row r="102" spans="1:26" ht="15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82" t="str">
        <f>IF($J$17=$A$146,"Administração Central da empresa ou consultoria - overhead","Seguro e Garantia")</f>
        <v>Seguro e Garantia</v>
      </c>
      <c r="K102" s="682"/>
      <c r="L102" s="682"/>
      <c r="M102" s="682"/>
      <c r="N102" s="682"/>
      <c r="O102" s="682"/>
      <c r="P102" s="682"/>
      <c r="Q102" s="682"/>
      <c r="R102" s="77" t="str">
        <f>IF($J97=$A$146,"K2","SG")</f>
        <v>SG</v>
      </c>
      <c r="S102" s="78"/>
      <c r="U102" s="683" t="s">
        <v>166</v>
      </c>
      <c r="V102" s="683"/>
      <c r="W102" s="683"/>
      <c r="X102" s="79" t="e">
        <f>VLOOKUP(CONCATENATE(J97,"-",R102),$C$2:$G$136,3,FALSE)</f>
        <v>#N/A</v>
      </c>
      <c r="Y102" s="79" t="e">
        <f>VLOOKUP(CONCATENATE(J97,"-",R102),$C$2:$G$136,4,FALSE)</f>
        <v>#N/A</v>
      </c>
      <c r="Z102" s="79" t="e">
        <f>VLOOKUP(CONCATENATE(J97,"-",R102),$C$2:$G$136,5,FALSE)</f>
        <v>#N/A</v>
      </c>
    </row>
    <row r="103" spans="1:26" ht="15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82" t="str">
        <f>IF($J$17=$A$146,"","Risco")</f>
        <v>Risco</v>
      </c>
      <c r="K103" s="682"/>
      <c r="L103" s="682"/>
      <c r="M103" s="682"/>
      <c r="N103" s="682"/>
      <c r="O103" s="682"/>
      <c r="P103" s="682"/>
      <c r="Q103" s="682"/>
      <c r="R103" s="77" t="str">
        <f>IF($J97=$A$146,"","R")</f>
        <v>R</v>
      </c>
      <c r="S103" s="78"/>
      <c r="U103" s="683" t="s">
        <v>166</v>
      </c>
      <c r="V103" s="683"/>
      <c r="W103" s="683"/>
      <c r="X103" s="79" t="e">
        <f>VLOOKUP(CONCATENATE(J97,"-",R103),$C$2:$G$136,3,FALSE)</f>
        <v>#N/A</v>
      </c>
      <c r="Y103" s="79" t="e">
        <f>VLOOKUP(CONCATENATE(J97,"-",R103),$C$2:$G$136,4,FALSE)</f>
        <v>#N/A</v>
      </c>
      <c r="Z103" s="79" t="e">
        <f>VLOOKUP(CONCATENATE(J97,"-",R103),$C$2:$G$136,5,FALSE)</f>
        <v>#N/A</v>
      </c>
    </row>
    <row r="104" spans="1:26" ht="15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82" t="str">
        <f>IF($J$17=$A$146,"","Despesas Financeiras")</f>
        <v>Despesas Financeiras</v>
      </c>
      <c r="K104" s="682"/>
      <c r="L104" s="682"/>
      <c r="M104" s="682"/>
      <c r="N104" s="682"/>
      <c r="O104" s="682"/>
      <c r="P104" s="682"/>
      <c r="Q104" s="682"/>
      <c r="R104" s="77" t="str">
        <f>IF($J97=$A$146,"","DF")</f>
        <v>DF</v>
      </c>
      <c r="S104" s="78"/>
      <c r="U104" s="683" t="s">
        <v>166</v>
      </c>
      <c r="V104" s="683"/>
      <c r="W104" s="683"/>
      <c r="X104" s="79" t="e">
        <f>VLOOKUP(CONCATENATE(J97,"-",R104),$C$2:$G$136,3,FALSE)</f>
        <v>#N/A</v>
      </c>
      <c r="Y104" s="79" t="e">
        <f>VLOOKUP(CONCATENATE(J97,"-",R104),$C$2:$G$136,4,FALSE)</f>
        <v>#N/A</v>
      </c>
      <c r="Z104" s="79" t="e">
        <f>VLOOKUP(CONCATENATE(J97,"-",R104),$C$2:$G$136,5,FALSE)</f>
        <v>#N/A</v>
      </c>
    </row>
    <row r="105" spans="1:26" ht="15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82" t="str">
        <f>IF($J$17=$A$146,"Margem bruta da empresa de consultoria","Lucro")</f>
        <v>Lucro</v>
      </c>
      <c r="K105" s="682"/>
      <c r="L105" s="682"/>
      <c r="M105" s="682"/>
      <c r="N105" s="682"/>
      <c r="O105" s="682"/>
      <c r="P105" s="682"/>
      <c r="Q105" s="682"/>
      <c r="R105" s="77" t="str">
        <f>IF($J97=$A$146,"K3","L")</f>
        <v>L</v>
      </c>
      <c r="S105" s="78"/>
      <c r="U105" s="683" t="s">
        <v>166</v>
      </c>
      <c r="V105" s="683"/>
      <c r="W105" s="683"/>
      <c r="X105" s="79" t="e">
        <f>VLOOKUP(CONCATENATE(J97,"-",R105),$C$2:$G$136,3,FALSE)</f>
        <v>#N/A</v>
      </c>
      <c r="Y105" s="79" t="e">
        <f>VLOOKUP(CONCATENATE(J97,"-",R105),$C$2:$G$136,4,FALSE)</f>
        <v>#N/A</v>
      </c>
      <c r="Z105" s="79" t="e">
        <f>VLOOKUP(CONCATENATE(J97,"-",R105),$C$2:$G$136,5,FALSE)</f>
        <v>#N/A</v>
      </c>
    </row>
    <row r="106" spans="1:26" ht="15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82" t="s">
        <v>168</v>
      </c>
      <c r="K106" s="682"/>
      <c r="L106" s="682"/>
      <c r="M106" s="682"/>
      <c r="N106" s="682"/>
      <c r="O106" s="682"/>
      <c r="P106" s="682"/>
      <c r="Q106" s="682"/>
      <c r="R106" s="77" t="s">
        <v>169</v>
      </c>
      <c r="S106" s="78"/>
      <c r="U106" s="683" t="s">
        <v>166</v>
      </c>
      <c r="V106" s="683"/>
      <c r="W106" s="683"/>
      <c r="X106" s="79">
        <v>3.6499999999999998E-2</v>
      </c>
      <c r="Y106" s="79">
        <v>3.6499999999999998E-2</v>
      </c>
      <c r="Z106" s="79">
        <v>3.6499999999999998E-2</v>
      </c>
    </row>
    <row r="107" spans="1:26" ht="15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82" t="s">
        <v>170</v>
      </c>
      <c r="K107" s="682"/>
      <c r="L107" s="682"/>
      <c r="M107" s="682"/>
      <c r="N107" s="682"/>
      <c r="O107" s="682"/>
      <c r="P107" s="682"/>
      <c r="Q107" s="682"/>
      <c r="R107" s="77" t="s">
        <v>171</v>
      </c>
      <c r="S107" s="79">
        <f ca="1">IF(AND($J97&lt;&gt;$A$145,COUNTA(OFFSET(S100,1,0,6))&gt;0),$R$11*$R$10,0)</f>
        <v>0</v>
      </c>
      <c r="U107" s="683" t="s">
        <v>166</v>
      </c>
      <c r="V107" s="683"/>
      <c r="W107" s="683"/>
      <c r="X107" s="79">
        <v>0</v>
      </c>
      <c r="Y107" s="79">
        <v>2.5000000000000001E-2</v>
      </c>
      <c r="Z107" s="79">
        <v>0.05</v>
      </c>
    </row>
    <row r="108" spans="1:26" ht="15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82" t="s">
        <v>172</v>
      </c>
      <c r="K108" s="682"/>
      <c r="L108" s="682"/>
      <c r="M108" s="682"/>
      <c r="N108" s="682"/>
      <c r="O108" s="682"/>
      <c r="P108" s="682"/>
      <c r="Q108" s="682"/>
      <c r="R108" s="77" t="s">
        <v>173</v>
      </c>
      <c r="S108" s="79">
        <f ca="1">IF(BDI.Opcao&lt;&gt;"Desonerado",0,IF(AND($J97&lt;&gt;$A$145,COUNTA(OFFSET(S100,1,0,6))&gt;0),4.5%,0%))</f>
        <v>0</v>
      </c>
      <c r="U108" s="683" t="s">
        <v>166</v>
      </c>
      <c r="V108" s="683"/>
      <c r="W108" s="683"/>
      <c r="X108" s="80">
        <v>0</v>
      </c>
      <c r="Y108" s="80">
        <v>4.4999999999999998E-2</v>
      </c>
      <c r="Z108" s="80">
        <v>4.4999999999999998E-2</v>
      </c>
    </row>
    <row r="109" spans="1:26" ht="15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82" t="s">
        <v>174</v>
      </c>
      <c r="K109" s="682"/>
      <c r="L109" s="682"/>
      <c r="M109" s="682"/>
      <c r="N109" s="682"/>
      <c r="O109" s="682"/>
      <c r="P109" s="682"/>
      <c r="Q109" s="682"/>
      <c r="R109" s="81" t="s">
        <v>150</v>
      </c>
      <c r="S109" s="79">
        <f ca="1">IF($J97=$A$145,0,ROUND((((1+S101+S102+S103)*(1+S104)*(1+S105)/(1-(S106+S107)))-1),4))</f>
        <v>0</v>
      </c>
      <c r="U109" s="684" t="e">
        <f ca="1">IF(OR($J$17=$A$146,$J$17=$A$145,AND(S109&gt;=X109,S109&lt;=Z109)),"OK","FORA DO INTERVALO")</f>
        <v>#N/A</v>
      </c>
      <c r="V109" s="684"/>
      <c r="W109" s="684"/>
      <c r="X109" s="79" t="e">
        <f>IF($J97=$A$145,0,VLOOKUP(CONCATENATE($J97,"-",$R109),$C$2:$G$136,3,FALSE))</f>
        <v>#N/A</v>
      </c>
      <c r="Y109" s="79" t="e">
        <f>IF($J97=$A$145,0,VLOOKUP(CONCATENATE($J97,"-",$R109),$C$2:$G$136,4,FALSE))</f>
        <v>#N/A</v>
      </c>
      <c r="Z109" s="79" t="e">
        <f>IF($J97=$A$145,0,VLOOKUP(CONCATENATE($J97,"-",$R109),$C$2:$G$136,5,FALSE))</f>
        <v>#N/A</v>
      </c>
    </row>
    <row r="110" spans="1:26" ht="15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85" t="s">
        <v>175</v>
      </c>
      <c r="K110" s="685"/>
      <c r="L110" s="685"/>
      <c r="M110" s="685"/>
      <c r="N110" s="685"/>
      <c r="O110" s="685"/>
      <c r="P110" s="685"/>
      <c r="Q110" s="685"/>
      <c r="R110" s="82" t="s">
        <v>176</v>
      </c>
      <c r="S110" s="83">
        <f ca="1">IF($J97=$A$145,0,ROUND((((1+S101+S102+S103)*(1+S104)*(1+S105)/(1-(S106+S107+S108)))-1),4))</f>
        <v>0</v>
      </c>
    </row>
    <row r="111" spans="1:26" ht="25.5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x14ac:dyDescent="0.2">
      <c r="A112"/>
      <c r="B112"/>
      <c r="C112"/>
      <c r="D112"/>
      <c r="E112"/>
      <c r="F112"/>
      <c r="G112"/>
      <c r="I112" t="str">
        <f t="shared" ca="1" si="2"/>
        <v/>
      </c>
      <c r="J112" s="84" t="e">
        <f ca="1">IF(U109&lt;&gt;"ok","X","")</f>
        <v>#N/A</v>
      </c>
      <c r="K112" s="686" t="e">
        <f ca="1">IF(U109&lt;&gt;"ok","Anexo: Relatório Técnico Circunstanciado justificando a adoção do percentual de cada parcela do BDI.","")</f>
        <v>#N/A</v>
      </c>
      <c r="L112" s="686"/>
      <c r="M112" s="686"/>
      <c r="N112" s="686"/>
      <c r="O112" s="686"/>
      <c r="P112" s="686"/>
      <c r="Q112" s="686"/>
      <c r="R112" s="686"/>
      <c r="S112" s="686"/>
    </row>
    <row r="113" spans="1:19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x14ac:dyDescent="0.2">
      <c r="A114"/>
      <c r="B114"/>
      <c r="C114"/>
      <c r="D114"/>
      <c r="E114"/>
      <c r="F114"/>
      <c r="G114"/>
      <c r="I114" t="str">
        <f t="shared" ca="1" si="2"/>
        <v/>
      </c>
      <c r="J114" s="688" t="s">
        <v>178</v>
      </c>
      <c r="K114" s="688"/>
      <c r="L114" s="688"/>
      <c r="M114" s="688"/>
      <c r="N114" s="688"/>
      <c r="O114" s="688"/>
      <c r="P114" s="688"/>
      <c r="Q114" s="688"/>
      <c r="R114" s="688"/>
      <c r="S114" s="688"/>
    </row>
    <row r="115" spans="1:19" ht="15.75" x14ac:dyDescent="0.25">
      <c r="A115"/>
      <c r="B115"/>
      <c r="C115"/>
      <c r="D115"/>
      <c r="E115"/>
      <c r="F115"/>
      <c r="G115"/>
      <c r="I115" t="str">
        <f t="shared" ca="1" si="2"/>
        <v/>
      </c>
      <c r="J115" s="85"/>
      <c r="K115" s="85"/>
      <c r="L115" s="85"/>
      <c r="M115" s="689" t="s">
        <v>179</v>
      </c>
      <c r="N115" s="690" t="str">
        <f>IF($J97=$A$146,"(1+K1+K2)*(1+K3)","(1+AC + S + R + G)*(1 + DF)*(1+L)")</f>
        <v>(1+AC + S + R + G)*(1 + DF)*(1+L)</v>
      </c>
      <c r="O115" s="690"/>
      <c r="P115" s="690"/>
      <c r="Q115" s="691" t="s">
        <v>180</v>
      </c>
      <c r="R115" s="85"/>
      <c r="S115" s="85"/>
    </row>
    <row r="116" spans="1:19" ht="15.75" x14ac:dyDescent="0.2">
      <c r="A116"/>
      <c r="B116"/>
      <c r="C116"/>
      <c r="D116"/>
      <c r="E116"/>
      <c r="F116"/>
      <c r="G116"/>
      <c r="I116" t="str">
        <f t="shared" ca="1" si="2"/>
        <v/>
      </c>
      <c r="J116" s="85"/>
      <c r="K116" s="85"/>
      <c r="L116" s="85"/>
      <c r="M116" s="689"/>
      <c r="N116" s="681" t="s">
        <v>181</v>
      </c>
      <c r="O116" s="681"/>
      <c r="P116" s="681"/>
      <c r="Q116" s="691"/>
      <c r="R116" s="85"/>
      <c r="S116" s="85"/>
    </row>
    <row r="117" spans="1:19" ht="15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85"/>
      <c r="K117" s="85"/>
      <c r="L117" s="85"/>
      <c r="M117" s="86"/>
      <c r="N117" s="88"/>
      <c r="O117" s="88"/>
      <c r="P117" s="88"/>
      <c r="Q117" s="87"/>
      <c r="R117" s="85"/>
      <c r="S117" s="85"/>
    </row>
    <row r="118" spans="1:19" ht="50.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675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118" s="675"/>
      <c r="L118" s="675"/>
      <c r="M118" s="675"/>
      <c r="N118" s="675"/>
      <c r="O118" s="675"/>
      <c r="P118" s="675"/>
      <c r="Q118" s="675"/>
      <c r="R118" s="675"/>
      <c r="S118" s="675"/>
    </row>
    <row r="119" spans="1:19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675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120" s="675"/>
      <c r="L120" s="675"/>
      <c r="M120" s="675"/>
      <c r="N120" s="675"/>
      <c r="O120" s="675"/>
      <c r="P120" s="675"/>
      <c r="Q120" s="675"/>
      <c r="R120" s="675"/>
      <c r="S120" s="675"/>
    </row>
    <row r="121" spans="1:19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x14ac:dyDescent="0.2">
      <c r="A122"/>
      <c r="B122"/>
      <c r="C122"/>
      <c r="D122"/>
      <c r="E122"/>
      <c r="F122"/>
      <c r="G122"/>
      <c r="I122" t="str">
        <f t="shared" ca="1" si="2"/>
        <v/>
      </c>
      <c r="J122" s="66" t="s">
        <v>187</v>
      </c>
    </row>
    <row r="123" spans="1:19" ht="110.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76"/>
      <c r="K123" s="676"/>
      <c r="L123" s="676"/>
      <c r="M123" s="676"/>
      <c r="N123" s="676"/>
      <c r="O123" s="676"/>
      <c r="P123" s="676"/>
      <c r="Q123" s="676"/>
      <c r="R123" s="676"/>
      <c r="S123" s="676"/>
    </row>
    <row r="124" spans="1:19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x14ac:dyDescent="0.2">
      <c r="A125"/>
      <c r="B125"/>
      <c r="C125"/>
      <c r="D125"/>
      <c r="E125"/>
      <c r="F125"/>
      <c r="G125"/>
      <c r="I125" t="str">
        <f t="shared" ca="1" si="2"/>
        <v/>
      </c>
      <c r="J125" s="677" t="str">
        <f>Import.Município</f>
        <v xml:space="preserve">SÃO FRANCISCO </v>
      </c>
      <c r="K125" s="677"/>
      <c r="L125" s="677"/>
      <c r="M125" s="677"/>
      <c r="P125" s="678">
        <f ca="1">DADOS!$F$25</f>
        <v>45737</v>
      </c>
      <c r="Q125" s="678"/>
      <c r="R125" s="678"/>
      <c r="S125" s="678"/>
    </row>
    <row r="126" spans="1:19" x14ac:dyDescent="0.2">
      <c r="A126"/>
      <c r="B126"/>
      <c r="C126"/>
      <c r="D126"/>
      <c r="E126"/>
      <c r="F126"/>
      <c r="G126"/>
      <c r="I126" t="str">
        <f t="shared" ca="1" si="2"/>
        <v/>
      </c>
      <c r="J126" s="679" t="s">
        <v>188</v>
      </c>
      <c r="K126" s="679"/>
      <c r="L126" s="679"/>
      <c r="M126" s="679"/>
      <c r="O126" s="90"/>
      <c r="P126" s="91" t="s">
        <v>189</v>
      </c>
      <c r="Q126" s="92"/>
      <c r="R126" s="92"/>
      <c r="S126" s="92"/>
    </row>
    <row r="127" spans="1:19" ht="30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x14ac:dyDescent="0.2">
      <c r="A128"/>
      <c r="B128"/>
      <c r="C128"/>
      <c r="D128"/>
      <c r="E128"/>
      <c r="F128"/>
      <c r="G128"/>
      <c r="I128" t="str">
        <f t="shared" ca="1" si="2"/>
        <v/>
      </c>
      <c r="J128" s="680"/>
      <c r="K128" s="680"/>
      <c r="L128" s="680"/>
      <c r="M128" s="680"/>
      <c r="N128" s="93"/>
    </row>
    <row r="129" spans="1:14" x14ac:dyDescent="0.2">
      <c r="A129"/>
      <c r="B129"/>
      <c r="C129"/>
      <c r="D129"/>
      <c r="E129"/>
      <c r="F129"/>
      <c r="G129"/>
      <c r="I129" t="str">
        <f t="shared" ca="1" si="2"/>
        <v/>
      </c>
      <c r="J129" s="674" t="s">
        <v>190</v>
      </c>
      <c r="K129" s="674"/>
      <c r="L129" s="674"/>
      <c r="M129" s="674"/>
      <c r="N129" s="94"/>
    </row>
    <row r="130" spans="1:14" ht="14.25" x14ac:dyDescent="0.2">
      <c r="A130"/>
      <c r="B130"/>
      <c r="C130"/>
      <c r="D130"/>
      <c r="E130"/>
      <c r="F130"/>
      <c r="G130"/>
      <c r="I130" t="str">
        <f t="shared" ca="1" si="2"/>
        <v/>
      </c>
      <c r="J130" s="95" t="s">
        <v>108</v>
      </c>
      <c r="K130" s="96" t="str">
        <f t="array" ref="K130:K132">Import.RespOrçamento</f>
        <v>KÁREN MARIANA SOARES VIEIRA</v>
      </c>
      <c r="L130" s="97"/>
      <c r="M130" s="97"/>
      <c r="N130" s="98"/>
    </row>
    <row r="131" spans="1:14" ht="14.25" x14ac:dyDescent="0.2">
      <c r="A131"/>
      <c r="B131"/>
      <c r="C131"/>
      <c r="D131"/>
      <c r="E131"/>
      <c r="F131"/>
      <c r="G131"/>
      <c r="I131" t="str">
        <f t="shared" ca="1" si="2"/>
        <v/>
      </c>
      <c r="J131" s="95" t="s">
        <v>109</v>
      </c>
      <c r="K131" s="96" t="str">
        <v>332.425/D-MG</v>
      </c>
      <c r="L131" s="97"/>
      <c r="M131" s="97"/>
      <c r="N131" s="98"/>
    </row>
    <row r="132" spans="1:14" ht="14.25" x14ac:dyDescent="0.2">
      <c r="A132"/>
      <c r="B132"/>
      <c r="C132"/>
      <c r="D132"/>
      <c r="E132"/>
      <c r="F132"/>
      <c r="G132"/>
      <c r="I132" t="str">
        <f t="shared" ca="1" si="2"/>
        <v/>
      </c>
      <c r="J132" s="95" t="s">
        <v>110</v>
      </c>
      <c r="K132" s="96" t="str">
        <v>MG20242766780</v>
      </c>
      <c r="L132" s="97"/>
      <c r="M132" s="97"/>
      <c r="N132" s="98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66" t="s">
        <v>409</v>
      </c>
    </row>
    <row r="139" spans="1:14" x14ac:dyDescent="0.2">
      <c r="A139" s="66" t="s">
        <v>141</v>
      </c>
    </row>
    <row r="140" spans="1:14" x14ac:dyDescent="0.2">
      <c r="A140" s="66" t="s">
        <v>152</v>
      </c>
    </row>
    <row r="141" spans="1:14" x14ac:dyDescent="0.2">
      <c r="A141" s="66" t="s">
        <v>155</v>
      </c>
    </row>
    <row r="142" spans="1:14" x14ac:dyDescent="0.2">
      <c r="A142" s="66" t="s">
        <v>165</v>
      </c>
    </row>
    <row r="143" spans="1:14" x14ac:dyDescent="0.2">
      <c r="A143" s="66" t="s">
        <v>167</v>
      </c>
    </row>
    <row r="144" spans="1:14" x14ac:dyDescent="0.2">
      <c r="A144" s="66" t="s">
        <v>177</v>
      </c>
    </row>
    <row r="145" spans="1:1" x14ac:dyDescent="0.2">
      <c r="A145" s="66" t="s">
        <v>182</v>
      </c>
    </row>
    <row r="146" spans="1:1" x14ac:dyDescent="0.2">
      <c r="A146" s="66" t="s">
        <v>183</v>
      </c>
    </row>
  </sheetData>
  <sheetProtection algorithmName="SHA-512" hashValue="KMNwpBBG6J+u9Qp6xRxYYcUBxU0UcvfvF9Hv2H6bR2Xyq/cpGhInf+dYgqe/7BAs3CJ+pzFgqUehauwI1A/kfw==" saltValue="0giPuxVGRKIBmbbTsKjy0Q==" spinCount="100000" sheet="1" objects="1" scenarios="1" autoFilter="0"/>
  <autoFilter ref="I11:I132"/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J11:Q11"/>
    <mergeCell ref="R11:S11"/>
    <mergeCell ref="J7:S7"/>
    <mergeCell ref="J8:S8"/>
    <mergeCell ref="J10:Q10"/>
    <mergeCell ref="R10:S10"/>
    <mergeCell ref="X19:X20"/>
    <mergeCell ref="Y19:Y20"/>
    <mergeCell ref="J17:S17"/>
    <mergeCell ref="Z19:Z20"/>
    <mergeCell ref="U19:W20"/>
    <mergeCell ref="J19:Q20"/>
    <mergeCell ref="R19:R20"/>
    <mergeCell ref="S19:S20"/>
    <mergeCell ref="J14:S14"/>
    <mergeCell ref="J16:S16"/>
    <mergeCell ref="J23:Q23"/>
    <mergeCell ref="U23:W23"/>
    <mergeCell ref="J21:Q21"/>
    <mergeCell ref="U21:W21"/>
    <mergeCell ref="J22:Q22"/>
    <mergeCell ref="U22:W22"/>
    <mergeCell ref="J25:Q25"/>
    <mergeCell ref="U25:W25"/>
    <mergeCell ref="J26:Q26"/>
    <mergeCell ref="U26:W26"/>
    <mergeCell ref="J27:Q27"/>
    <mergeCell ref="U27:W27"/>
    <mergeCell ref="J28:Q28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J40:S40"/>
    <mergeCell ref="J43:S43"/>
    <mergeCell ref="Y59:Y60"/>
    <mergeCell ref="Z59:Z60"/>
    <mergeCell ref="J59:Q60"/>
    <mergeCell ref="R59:R60"/>
    <mergeCell ref="S59:S60"/>
    <mergeCell ref="U59:W60"/>
    <mergeCell ref="X59:X60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J65:Q65"/>
    <mergeCell ref="U65:W65"/>
    <mergeCell ref="J66:Q66"/>
    <mergeCell ref="U66:W66"/>
    <mergeCell ref="U67:W67"/>
    <mergeCell ref="J68:Q68"/>
    <mergeCell ref="U68:W68"/>
    <mergeCell ref="J94:S94"/>
    <mergeCell ref="J85:M85"/>
    <mergeCell ref="P85:S85"/>
    <mergeCell ref="J67:Q67"/>
    <mergeCell ref="J78:S78"/>
    <mergeCell ref="J70:Q70"/>
    <mergeCell ref="K72:S72"/>
    <mergeCell ref="J89:M89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Y99:Y100"/>
    <mergeCell ref="Z99:Z100"/>
    <mergeCell ref="J99:Q100"/>
    <mergeCell ref="R99:R100"/>
    <mergeCell ref="S99:S100"/>
    <mergeCell ref="X99:X100"/>
    <mergeCell ref="J101:Q101"/>
    <mergeCell ref="U101:W101"/>
    <mergeCell ref="J96:S96"/>
    <mergeCell ref="J97:S97"/>
    <mergeCell ref="U99:W100"/>
    <mergeCell ref="U108:W108"/>
    <mergeCell ref="J109:Q109"/>
    <mergeCell ref="U109:W109"/>
    <mergeCell ref="J110:Q110"/>
    <mergeCell ref="K112:S112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2:Q102"/>
    <mergeCell ref="U102:W102"/>
    <mergeCell ref="U105:W105"/>
    <mergeCell ref="J106:Q106"/>
    <mergeCell ref="U106:W106"/>
    <mergeCell ref="J104:Q104"/>
    <mergeCell ref="U104:W104"/>
    <mergeCell ref="U103:W103"/>
    <mergeCell ref="U107:W107"/>
    <mergeCell ref="J129:M129"/>
    <mergeCell ref="J120:S120"/>
    <mergeCell ref="J123:S123"/>
    <mergeCell ref="J125:M125"/>
    <mergeCell ref="P125:S125"/>
    <mergeCell ref="J126:M126"/>
    <mergeCell ref="J128:M128"/>
    <mergeCell ref="N116:P116"/>
    <mergeCell ref="J108:Q108"/>
  </mergeCells>
  <phoneticPr fontId="38" type="noConversion"/>
  <conditionalFormatting sqref="J30:S30 J70:S70 J110:S110">
    <cfRule type="expression" dxfId="353" priority="2" stopIfTrue="1">
      <formula>DESONERACAO="não"</formula>
    </cfRule>
  </conditionalFormatting>
  <conditionalFormatting sqref="U29:W29 U69:W69 U109:W109">
    <cfRule type="expression" dxfId="352" priority="3" stopIfTrue="1">
      <formula>AND(U29&lt;&gt;"OK",U29&lt;&gt;"-",U29&lt;&gt;"")</formula>
    </cfRule>
    <cfRule type="cellIs" dxfId="351" priority="4" stopIfTrue="1" operator="equal">
      <formula>"OK"</formula>
    </cfRule>
  </conditionalFormatting>
  <conditionalFormatting sqref="S29 S69 S109">
    <cfRule type="expression" dxfId="350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79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75"/>
  <sheetViews>
    <sheetView showGridLines="0" zoomScale="90" zoomScaleNormal="90" zoomScaleSheetLayoutView="90" workbookViewId="0">
      <pane xSplit="19" ySplit="15" topLeftCell="U52" activePane="bottomRight" state="frozen"/>
      <selection activeCell="L1" sqref="L1"/>
      <selection pane="topRight" activeCell="T1" sqref="T1"/>
      <selection pane="bottomLeft" activeCell="L16" sqref="L16"/>
      <selection pane="bottomRight" activeCell="R55" sqref="R55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A1" s="100"/>
      <c r="B1" s="100"/>
      <c r="C1" s="100"/>
      <c r="D1" s="100"/>
      <c r="F1" s="101"/>
      <c r="G1" s="3"/>
      <c r="H1" s="100"/>
      <c r="I1" s="100"/>
      <c r="J1" s="100"/>
      <c r="K1" s="100"/>
      <c r="L1" s="100"/>
      <c r="M1" s="102"/>
      <c r="N1" s="102"/>
      <c r="O1" s="100"/>
      <c r="P1" s="100"/>
      <c r="Q1" s="100"/>
      <c r="R1" s="103" t="s">
        <v>193</v>
      </c>
      <c r="S1" s="100"/>
      <c r="T1" s="103"/>
      <c r="U1" s="100"/>
      <c r="V1" s="100"/>
      <c r="W1" s="100"/>
      <c r="X1" s="69" t="s">
        <v>140</v>
      </c>
      <c r="Y1" s="104"/>
      <c r="Z1" s="104"/>
      <c r="AA1" s="104"/>
      <c r="AB1" s="104"/>
      <c r="AC1" s="105"/>
      <c r="AD1" s="105"/>
      <c r="AG1" s="105"/>
      <c r="AH1" s="105"/>
      <c r="AN1" s="105"/>
    </row>
    <row r="2" spans="1:40" ht="15" x14ac:dyDescent="0.2">
      <c r="A2" s="105"/>
      <c r="B2" s="105"/>
      <c r="C2" s="105"/>
      <c r="D2" s="106" t="s">
        <v>194</v>
      </c>
      <c r="E2" s="106" t="s">
        <v>195</v>
      </c>
      <c r="F2" s="106" t="s">
        <v>196</v>
      </c>
      <c r="G2" s="106" t="s">
        <v>197</v>
      </c>
      <c r="H2" s="106" t="s">
        <v>198</v>
      </c>
      <c r="I2" s="106" t="s">
        <v>199</v>
      </c>
      <c r="J2" s="105"/>
      <c r="K2" s="105"/>
      <c r="L2" s="105"/>
      <c r="M2" s="105"/>
      <c r="N2" s="105"/>
      <c r="O2" s="105"/>
      <c r="P2" s="105"/>
      <c r="Q2" s="105"/>
      <c r="R2" s="107" t="str">
        <f>IF(TIPOORCAMENTO="licitado","Orçamento Licitado","Orçamento Base para Licitação")&amp;" - "&amp;import.recurso</f>
        <v>Orçamento Base para Licitação - OGU</v>
      </c>
      <c r="S2" s="105"/>
      <c r="T2" s="105"/>
      <c r="U2" s="105"/>
      <c r="V2" s="105"/>
      <c r="W2" s="105"/>
      <c r="X2" s="14" t="s">
        <v>143</v>
      </c>
      <c r="Y2" s="108"/>
      <c r="Z2" s="108"/>
      <c r="AA2" s="108"/>
      <c r="AB2" s="108"/>
      <c r="AC2" s="105"/>
      <c r="AD2" s="105"/>
      <c r="AH2" s="105"/>
    </row>
    <row r="3" spans="1:40" x14ac:dyDescent="0.2">
      <c r="A3" s="105"/>
      <c r="B3" s="105"/>
      <c r="C3" s="105"/>
      <c r="D3" s="105"/>
      <c r="F3" s="101"/>
      <c r="H3" s="109"/>
      <c r="I3" s="105"/>
      <c r="J3" s="105"/>
      <c r="K3" s="105"/>
      <c r="L3" s="105"/>
      <c r="M3" s="105"/>
      <c r="N3" s="105"/>
      <c r="O3" s="105"/>
      <c r="P3" s="105"/>
      <c r="Q3" s="105"/>
      <c r="R3" s="110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G3" s="105"/>
      <c r="AH3" s="105"/>
      <c r="AN3" s="105"/>
    </row>
    <row r="4" spans="1:40" x14ac:dyDescent="0.2">
      <c r="A4" s="105" t="s">
        <v>201</v>
      </c>
      <c r="B4" s="105"/>
      <c r="C4" s="105"/>
      <c r="D4" s="105"/>
      <c r="F4" s="101" t="s">
        <v>156</v>
      </c>
      <c r="G4" s="101" t="s">
        <v>191</v>
      </c>
      <c r="H4" s="101" t="s">
        <v>192</v>
      </c>
      <c r="I4" s="111">
        <v>0</v>
      </c>
      <c r="J4" s="105"/>
      <c r="K4" s="105"/>
      <c r="L4" s="105"/>
      <c r="M4" s="105"/>
      <c r="N4" s="105"/>
      <c r="O4" s="694" t="s">
        <v>146</v>
      </c>
      <c r="P4" s="694"/>
      <c r="Q4" s="112" t="s">
        <v>443</v>
      </c>
      <c r="R4" s="112" t="s">
        <v>147</v>
      </c>
      <c r="S4" s="694" t="s">
        <v>202</v>
      </c>
      <c r="T4" s="694"/>
      <c r="U4" s="694"/>
      <c r="V4" s="694"/>
      <c r="W4" s="694"/>
      <c r="X4" s="694"/>
      <c r="Y4" s="95"/>
      <c r="Z4" s="95"/>
      <c r="AA4" s="95"/>
      <c r="AB4" s="95"/>
      <c r="AC4" s="105"/>
      <c r="AG4" s="105"/>
      <c r="AH4" s="105"/>
      <c r="AN4" s="105"/>
    </row>
    <row r="5" spans="1:40" ht="12.75" customHeight="1" x14ac:dyDescent="0.2">
      <c r="A5" s="115">
        <f ca="1">MAX($C$15:$C$58)</f>
        <v>2</v>
      </c>
      <c r="B5" s="115"/>
      <c r="C5" s="115"/>
      <c r="D5" s="105"/>
      <c r="F5" s="116">
        <f ca="1">IF(BDI.Opcao="DESONERADO",BDI!$S$30,BDI!$S$29)</f>
        <v>0.26750000000000002</v>
      </c>
      <c r="G5" s="117">
        <f ca="1">IF(BDI.Opcao="DESONERADO",BDI!$S$70,BDI!$S$69)</f>
        <v>0</v>
      </c>
      <c r="H5" s="117">
        <f ca="1">IF(BDI.Opcao="DESONERADO",BDI!$S$110,BDI!$S$109)</f>
        <v>0</v>
      </c>
      <c r="I5" s="105"/>
      <c r="J5" s="105"/>
      <c r="K5" s="105"/>
      <c r="L5" s="105"/>
      <c r="M5" s="105"/>
      <c r="N5" s="105"/>
      <c r="O5" s="697" t="str">
        <f>Import.CR</f>
        <v>01090614-71</v>
      </c>
      <c r="P5" s="697"/>
      <c r="Q5" s="118" t="str" cm="1">
        <f t="array" ref="Q5">Import.TransfereGOV</f>
        <v>951453</v>
      </c>
      <c r="R5" s="119" t="str">
        <f>Import.Proponente</f>
        <v>PREFEITURA MUNICIPAL DE SÃO FRANCISCO-MG</v>
      </c>
      <c r="S5" s="697" t="str">
        <f>Import.Apelido</f>
        <v xml:space="preserve">PAVIMENTAÇÃO ASFALTICA EM CBUQ DE DIVERSAS VIAS DO BAIRRO FUNCIONÁRIOS NO  MUNICIPIO DE SÃO FRANCISCO-MG </v>
      </c>
      <c r="T5" s="697"/>
      <c r="U5" s="697"/>
      <c r="V5" s="697"/>
      <c r="W5" s="697"/>
      <c r="X5" s="697"/>
      <c r="Y5" s="120"/>
      <c r="Z5" s="120"/>
      <c r="AA5" s="120"/>
      <c r="AB5" s="120"/>
      <c r="AC5" s="105"/>
      <c r="AE5" s="704" t="s">
        <v>200</v>
      </c>
      <c r="AF5" s="704"/>
    </row>
    <row r="6" spans="1:40" ht="5.0999999999999996" customHeight="1" x14ac:dyDescent="0.2">
      <c r="A6" s="115"/>
      <c r="B6" s="115"/>
      <c r="C6" s="115"/>
      <c r="D6" s="105"/>
      <c r="F6" s="101"/>
      <c r="H6" s="109"/>
      <c r="I6" s="105"/>
      <c r="J6" s="105"/>
      <c r="K6" s="105"/>
      <c r="L6" s="105"/>
      <c r="M6" s="105"/>
      <c r="N6" s="105"/>
      <c r="O6" s="122"/>
      <c r="P6" s="122"/>
      <c r="Q6" s="123"/>
      <c r="R6" s="123"/>
      <c r="S6" s="122"/>
      <c r="T6" s="122"/>
      <c r="U6" s="122"/>
      <c r="V6" s="122"/>
      <c r="W6" s="122"/>
      <c r="X6" s="122"/>
      <c r="Y6" s="120"/>
      <c r="Z6" s="120"/>
      <c r="AA6" s="120"/>
      <c r="AB6" s="120"/>
      <c r="AC6" s="124"/>
      <c r="AE6" s="113"/>
      <c r="AF6" s="114"/>
      <c r="AG6" s="105"/>
      <c r="AH6" s="105"/>
      <c r="AN6" s="105"/>
    </row>
    <row r="7" spans="1:40" ht="12.75" customHeight="1" x14ac:dyDescent="0.2">
      <c r="A7" s="105"/>
      <c r="B7" s="105"/>
      <c r="C7" s="105"/>
      <c r="D7" s="105"/>
      <c r="F7" s="101"/>
      <c r="H7" s="109"/>
      <c r="I7" s="105"/>
      <c r="J7" s="105"/>
      <c r="K7" s="105"/>
      <c r="L7" s="105"/>
      <c r="M7" s="105"/>
      <c r="N7" s="105"/>
      <c r="O7" s="694" t="s">
        <v>204</v>
      </c>
      <c r="P7" s="694"/>
      <c r="Q7" s="112" t="s">
        <v>205</v>
      </c>
      <c r="R7" s="112" t="str">
        <f>IF(TIPOORCAMENTO="Licitado","NOME DA EMPRESA","DESCRIÇÃO DO LOTE")</f>
        <v>DESCRIÇÃO DO LOTE</v>
      </c>
      <c r="S7" s="705" t="str">
        <f>IF(TIPOORCAMENTO="Licitado","REGIME DE EXECUÇÃO","MUNICÍPIO / UF")</f>
        <v>MUNICÍPIO / UF</v>
      </c>
      <c r="T7" s="705"/>
      <c r="U7" s="705"/>
      <c r="V7" s="126" t="str">
        <f>IF(TIPOORCAMENTO="Licitado","","BDI 1")</f>
        <v>BDI 1</v>
      </c>
      <c r="W7" s="126" t="str">
        <f>IF(TIPOORCAMENTO="Licitado","","BDI 2")</f>
        <v>BDI 2</v>
      </c>
      <c r="X7" s="127" t="str">
        <f>IF(TIPOORCAMENTO="Licitado","Nº CTEF","BDI 3")</f>
        <v>BDI 3</v>
      </c>
      <c r="Y7" s="126"/>
      <c r="Z7" s="126"/>
      <c r="AA7" s="128"/>
      <c r="AB7" s="128"/>
      <c r="AC7" s="101"/>
      <c r="AE7" s="113" t="s">
        <v>203</v>
      </c>
      <c r="AF7" s="121" t="b">
        <v>1</v>
      </c>
      <c r="AJ7" s="708" t="s">
        <v>207</v>
      </c>
      <c r="AL7" s="706" t="s">
        <v>208</v>
      </c>
    </row>
    <row r="8" spans="1:40" ht="12.75" customHeight="1" x14ac:dyDescent="0.2">
      <c r="A8" s="115"/>
      <c r="B8" s="115"/>
      <c r="C8" s="115"/>
      <c r="D8" s="105"/>
      <c r="F8" s="709" t="str">
        <f ca="1">IF(LEN(INFO("release"))&gt;5,"'Referência "&amp;Excel_BuiltIn_Database&amp;".xlsm'#Banco.$a5:$a$65536","'[Referência "&amp;Excel_BuiltIn_Database&amp;".xlsm]Banco'!$a5:$a$65536")</f>
        <v>'[Referência 12-2023.xlsm]Banco'!$a5:$a$65536</v>
      </c>
      <c r="G8" s="709"/>
      <c r="H8" s="709"/>
      <c r="I8" s="709"/>
      <c r="J8" s="709"/>
      <c r="K8" s="709"/>
      <c r="L8" s="687" t="s">
        <v>209</v>
      </c>
      <c r="M8" s="105"/>
      <c r="N8" s="105"/>
      <c r="O8" s="697" t="str">
        <f ca="1">IF(ISERROR(INDIRECT($F$9)),"(N/D: 'Referência "&amp;Excel_BuiltIn_Database&amp;".xlsm)",INDIRECT($F$9))</f>
        <v>(N/D: 'Referência 12-2023.xlsm)</v>
      </c>
      <c r="P8" s="697"/>
      <c r="Q8" s="129" t="str">
        <f ca="1">TEXT(Import.DataBase,"mm-aa")&amp;IF(DESONERACAO="Sim"," (DES.)"," (N DES.)")</f>
        <v>12-23 (DES.)</v>
      </c>
      <c r="R8" s="119" t="str">
        <f>IF(TIPOORCAMENTO="Licitado",Import.empresa,Import.DescLote)</f>
        <v xml:space="preserve">PAVIMENTAÇÃO ASFALTICA EM CBUQ DE DIVERSAS VIAS DO BAIRRO FUNCIONÁRIOS NO  MUNICIPIO DE SÃO FRANCISCO-MG  </v>
      </c>
      <c r="S8" s="710" t="str">
        <f>IF(TIPOORCAMENTO="Licitado",Import.RegimeExecução,Import.Município)</f>
        <v xml:space="preserve">SÃO FRANCISCO </v>
      </c>
      <c r="T8" s="710"/>
      <c r="U8" s="710"/>
      <c r="V8" s="130" t="str">
        <f ca="1">IF(TIPOORCAMENTO="Licitado","",TEXT(F5,"0,00%"))</f>
        <v>26,75%</v>
      </c>
      <c r="W8" s="130" t="str">
        <f ca="1">IF(TIPOORCAMENTO="Licitado","",TEXT(G5,"0,00%"))</f>
        <v>0,00%</v>
      </c>
      <c r="X8" s="131" t="str">
        <f ca="1">IF(TIPOORCAMENTO="Licitado",Import.CTEF,TEXT(H5,"0,00%"))</f>
        <v>0,00%</v>
      </c>
      <c r="Y8" s="687" t="s">
        <v>210</v>
      </c>
      <c r="Z8" s="687" t="s">
        <v>211</v>
      </c>
      <c r="AA8" s="132"/>
      <c r="AB8" s="132"/>
      <c r="AE8" s="113" t="s">
        <v>206</v>
      </c>
      <c r="AF8" s="121" t="b">
        <v>1</v>
      </c>
      <c r="AG8" s="105"/>
      <c r="AH8" s="105"/>
      <c r="AJ8" s="708"/>
      <c r="AL8" s="706"/>
      <c r="AN8" s="105"/>
    </row>
    <row r="9" spans="1:40" ht="12.75" customHeight="1" x14ac:dyDescent="0.2">
      <c r="A9" s="105"/>
      <c r="B9" s="105"/>
      <c r="C9" s="105"/>
      <c r="D9" s="105"/>
      <c r="F9" s="709" t="str">
        <f ca="1">IF(LEN(INFO("release"))&gt;5,"'Referência "&amp;Excel_BuiltIn_Database&amp;".xlsm'#Banco.$d$3","'[Referência "&amp;Excel_BuiltIn_Database&amp;".xlsm]Banco'!$d$3")</f>
        <v>'[Referência 12-2023.xlsm]Banco'!$d$3</v>
      </c>
      <c r="G9" s="709"/>
      <c r="H9" s="709"/>
      <c r="I9" s="709"/>
      <c r="J9" s="709"/>
      <c r="K9" s="709"/>
      <c r="L9" s="687"/>
      <c r="M9" s="105"/>
      <c r="N9" s="105"/>
      <c r="O9" s="16"/>
      <c r="P9" s="105"/>
      <c r="Q9" s="105"/>
      <c r="R9" s="105"/>
      <c r="S9" s="105"/>
      <c r="T9" s="105"/>
      <c r="U9" s="105"/>
      <c r="V9" s="105"/>
      <c r="W9" s="105"/>
      <c r="X9" s="105"/>
      <c r="Y9" s="687"/>
      <c r="Z9" s="687"/>
      <c r="AA9" s="105"/>
      <c r="AB9" s="105"/>
      <c r="AC9" s="105"/>
      <c r="AD9" s="105"/>
      <c r="AE9" s="113" t="s">
        <v>212</v>
      </c>
      <c r="AF9" s="121" t="b">
        <v>1</v>
      </c>
      <c r="AG9" s="105"/>
      <c r="AJ9" s="708"/>
      <c r="AL9" s="706"/>
      <c r="AN9" s="105"/>
    </row>
    <row r="10" spans="1:40" x14ac:dyDescent="0.2">
      <c r="A10" s="105"/>
      <c r="B10" s="105"/>
      <c r="C10" s="105"/>
      <c r="D10" s="105"/>
      <c r="E10" s="106"/>
      <c r="F10" s="106"/>
      <c r="G10" s="109"/>
      <c r="H10" s="109"/>
      <c r="I10" s="105"/>
      <c r="J10" s="105"/>
      <c r="K10" s="105"/>
      <c r="L10" s="687"/>
      <c r="M10" s="105"/>
      <c r="N10" s="105"/>
      <c r="O10" s="16"/>
      <c r="P10" s="105"/>
      <c r="Q10" s="105"/>
      <c r="R10" s="105"/>
      <c r="S10" s="105"/>
      <c r="T10" s="105"/>
      <c r="U10" s="105"/>
      <c r="V10" s="105"/>
      <c r="W10" s="105"/>
      <c r="X10" s="105"/>
      <c r="Y10" s="687"/>
      <c r="Z10" s="687"/>
      <c r="AC10" s="133" t="s">
        <v>214</v>
      </c>
      <c r="AD10" s="105"/>
      <c r="AE10" s="113" t="s">
        <v>213</v>
      </c>
      <c r="AF10" s="121" t="b">
        <v>1</v>
      </c>
      <c r="AG10" s="105"/>
      <c r="AH10" s="105"/>
      <c r="AJ10" s="708"/>
      <c r="AL10" s="706"/>
      <c r="AN10" s="105"/>
    </row>
    <row r="11" spans="1:40" x14ac:dyDescent="0.2">
      <c r="A11" s="105"/>
      <c r="B11" s="105"/>
      <c r="C11" s="105"/>
      <c r="D11" s="105"/>
      <c r="E11" s="106"/>
      <c r="F11" s="106"/>
      <c r="G11" s="109"/>
      <c r="H11" s="134"/>
      <c r="I11" s="105"/>
      <c r="J11" s="105"/>
      <c r="K11" s="105"/>
      <c r="L11" s="687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687"/>
      <c r="Z11" s="687"/>
      <c r="AC11" s="135" t="str">
        <f ca="1">IF(COUNTIF($AC$15:OFFSET($AC$58,-1,0),"DESCRIÇÃO")+COUNTIF($AC$15:OFFSET($AC$58,-1,0),"UNIDADE")+COUNTIF($AC$15:OFFSET($AC$58,-1,0),"SEM VALOR")&gt;0,"NÃO OK","OK")</f>
        <v>OK</v>
      </c>
      <c r="AD11" s="105"/>
      <c r="AE11" s="113" t="s">
        <v>215</v>
      </c>
      <c r="AF11" s="121" t="b">
        <v>1</v>
      </c>
      <c r="AG11" s="105"/>
      <c r="AH11" s="105"/>
      <c r="AJ11" s="708"/>
      <c r="AL11" s="706"/>
      <c r="AN11" s="105"/>
    </row>
    <row r="12" spans="1:40" x14ac:dyDescent="0.2">
      <c r="A12" s="105"/>
      <c r="B12" s="105"/>
      <c r="C12" s="105"/>
      <c r="D12" s="105"/>
      <c r="E12" s="106"/>
      <c r="F12" s="106"/>
      <c r="G12" s="109"/>
      <c r="H12" s="109"/>
      <c r="I12" s="105"/>
      <c r="J12" s="105"/>
      <c r="K12" s="105"/>
      <c r="L12" s="687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687"/>
      <c r="Z12" s="687"/>
      <c r="AA12" s="707" t="s">
        <v>216</v>
      </c>
      <c r="AB12" s="707"/>
      <c r="AC12" s="105"/>
      <c r="AD12" s="105"/>
      <c r="AE12" s="105"/>
      <c r="AF12" s="105"/>
      <c r="AG12" s="105"/>
      <c r="AH12" s="105"/>
      <c r="AJ12" s="136" t="s">
        <v>217</v>
      </c>
      <c r="AL12" s="637" t="s">
        <v>217</v>
      </c>
      <c r="AN12" s="105"/>
    </row>
    <row r="13" spans="1:40" ht="35.1" customHeight="1" x14ac:dyDescent="0.2">
      <c r="A13" s="137" t="s">
        <v>218</v>
      </c>
      <c r="B13" s="137" t="s">
        <v>219</v>
      </c>
      <c r="C13" s="137" t="s">
        <v>220</v>
      </c>
      <c r="D13" s="137" t="s">
        <v>221</v>
      </c>
      <c r="E13" s="137" t="s">
        <v>222</v>
      </c>
      <c r="F13" s="137" t="s">
        <v>223</v>
      </c>
      <c r="G13" s="137" t="s">
        <v>224</v>
      </c>
      <c r="H13" s="137" t="s">
        <v>225</v>
      </c>
      <c r="I13" s="137" t="s">
        <v>226</v>
      </c>
      <c r="J13" s="137" t="s">
        <v>227</v>
      </c>
      <c r="K13" s="137" t="s">
        <v>228</v>
      </c>
      <c r="L13" s="136" t="s">
        <v>217</v>
      </c>
      <c r="M13" s="137" t="s">
        <v>229</v>
      </c>
      <c r="N13" s="138" t="s">
        <v>230</v>
      </c>
      <c r="O13" s="137" t="s">
        <v>231</v>
      </c>
      <c r="P13" s="137" t="s">
        <v>232</v>
      </c>
      <c r="Q13" s="137" t="s">
        <v>233</v>
      </c>
      <c r="R13" s="137" t="s">
        <v>234</v>
      </c>
      <c r="S13" s="139" t="s">
        <v>235</v>
      </c>
      <c r="T13" s="137" t="s">
        <v>203</v>
      </c>
      <c r="U13" s="137" t="str">
        <f>IF(TIPOORCAMENTO="Licitado","","Custo Unitário (sem BDI) (R$)")</f>
        <v>Custo Unitário (sem BDI) (R$)</v>
      </c>
      <c r="V13" s="137" t="str">
        <f>IF(TIPOORCAMENTO="Licitado","","BDI
(%)")</f>
        <v>BDI
(%)</v>
      </c>
      <c r="W13" s="137" t="s">
        <v>236</v>
      </c>
      <c r="X13" s="137" t="s">
        <v>237</v>
      </c>
      <c r="Y13" s="136" t="s">
        <v>217</v>
      </c>
      <c r="Z13" s="136" t="s">
        <v>217</v>
      </c>
      <c r="AA13" s="140" t="s">
        <v>238</v>
      </c>
      <c r="AB13" s="141" t="s">
        <v>239</v>
      </c>
      <c r="AC13" s="137" t="s">
        <v>240</v>
      </c>
      <c r="AD13" s="142" t="s">
        <v>241</v>
      </c>
      <c r="AE13" s="142" t="s">
        <v>242</v>
      </c>
      <c r="AF13" s="142" t="s">
        <v>243</v>
      </c>
      <c r="AG13" s="202" t="s">
        <v>418</v>
      </c>
      <c r="AH13" s="578" t="str">
        <f>IF(TIPOORCAMENTO="LICITADO","Valor BDI Edital","Valor BDI")</f>
        <v>Valor BDI</v>
      </c>
      <c r="AJ13" s="384" t="s">
        <v>203</v>
      </c>
      <c r="AL13" s="384" t="s">
        <v>236</v>
      </c>
      <c r="AM13" s="202" t="s">
        <v>244</v>
      </c>
      <c r="AN13" s="203" t="s">
        <v>414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IF(OR($C14="S",$C14=0),0,MATCH(0,OFFSET($D14,1,$C14,ROW($C$58)-ROW($C14)),0))</f>
        <v>0</v>
      </c>
      <c r="K14">
        <f ca="1">IF(OR($C14="S",$C14=0),0,MATCH(OFFSET($D14,0,$C14)+IF($C14&lt;&gt;1,1,COUNTIF(QCI!$A$13:$A$15,ORÇAMENTO!E14)),OFFSET($D14,1,$C14,ROW($C$58)-ROW($C14)),0))</f>
        <v>0</v>
      </c>
      <c r="L14" s="144" t="str">
        <f ca="1">IF(OR($X14&gt;0,$C14=1,$C14=2,$C14=3,$C14=4),"F","")</f>
        <v/>
      </c>
      <c r="M14" s="145" t="s">
        <v>199</v>
      </c>
      <c r="N14" s="146" t="str">
        <f ca="1">CHOOSE(1+LOG(1+2*(C14=1)+4*(C14=2)+8*(C14=3)+16*(C14=4)+32*(C14="S"),2),"","Meta","Nível 2","Nível 3","Nível 4","Serviço")</f>
        <v>Serviço</v>
      </c>
      <c r="O14" s="147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48" t="s">
        <v>247</v>
      </c>
      <c r="Q14" s="149"/>
      <c r="R14" s="150" t="str">
        <f ca="1">IF($C14="S",REFERENCIA.Descricao,"(digite a descrição aqui)")</f>
        <v>(abra o arquivo 'Referência 12-2023.xlsm)</v>
      </c>
      <c r="S14" s="151" t="str">
        <f ca="1">REFERENCIA.Unidade</f>
        <v>-</v>
      </c>
      <c r="T14" s="152">
        <f ca="1">OFFSET(CÁLCULO!H$15,ROW($T14)-ROW(T$15),0)</f>
        <v>0</v>
      </c>
      <c r="U14" s="153"/>
      <c r="V14" s="154" t="s">
        <v>156</v>
      </c>
      <c r="W14" s="152">
        <f ca="1">IF($C14="S",ROUND(IF(TIPOORCAMENTO="Proposto",ORÇAMENTO.CustoUnitario*(1+$AH14),ORÇAMENTO.PrecoUnitarioLicitado),15-13*$AF$10),0)</f>
        <v>0</v>
      </c>
      <c r="X14" s="155">
        <f ca="1">IF($C14="S",IF(Import.TipoArredondamento&lt;&gt;"TransfereGOV",VTOTAL1,SUM(OFFSET(CÁLCULO!$AI$15,ROW($X14)-ROW($X$15),1):OFFSET(CÁLCULO!$BB$15,ROW($X14)-ROW($X$15),-1))),IF($C14=0,0,ROUND(SomaAgrup,15-13*$AF$11)))</f>
        <v>0</v>
      </c>
      <c r="Y14" s="156" t="s">
        <v>245</v>
      </c>
      <c r="Z14" t="str">
        <f ca="1">IF(AND($C14="S",$X14&gt;0),IF(ISBLANK($Y14),"RA",LEFT($Y14,2)),"")</f>
        <v/>
      </c>
      <c r="AA14" s="157">
        <f ca="1">IF($C14="S",IF($Z14="CP",$X14,IF($Z14="RA",(($X14)*QCI!$AA$3),0)),SomaAgrup)</f>
        <v>0</v>
      </c>
      <c r="AB14" s="158">
        <f ca="1">IF($C14="S",IF($Z14="OU",ROUND($X14,2),0),SomaAgrup)</f>
        <v>0</v>
      </c>
      <c r="AC14" s="159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s="105" t="str">
        <f ca="1">IF(C14&lt;=CRONO.NivelExibicao,MAX($AD$15:OFFSET(AD14,-1,0))+IF($C14&lt;&gt;1,1,MAX(1,COUNTIF(QCI!$A$13:$A$15,OFFSET($E14,-1,0)))),"")</f>
        <v/>
      </c>
      <c r="AE14" s="115" t="b">
        <f ca="1">IF(AND($C14="S",ORÇAMENTO.CodBarra&lt;&gt;""),IF(ORÇAMENTO.Fonte="",ORÇAMENTO.CodBarra,CONCATENATE(ORÇAMENTO.Fonte," ",ORÇAMENTO.CodBarra)))</f>
        <v>0</v>
      </c>
      <c r="AF14" s="160" t="str">
        <f ca="1">IF(ISERROR(INDIRECT(ORÇAMENTO.BancoRef)),"(abra o arquivo 'Referência "&amp;Excel_BuiltIn_Database&amp;".xlsm)",IF(OR($C14&lt;&gt;"S",ORÇAMENTO.CodBarra=""),"(Sem Código)",IF(ISERROR(MATCH($AE14,INDIRECT(ORÇAMENTO.BancoRef),0)),"(Código não identificado nas referências)",MATCH($AE14,INDIRECT(ORÇAMENTO.BancoRef),0))))</f>
        <v>(abra o arquivo 'Referência 12-2023.xlsm)</v>
      </c>
      <c r="AG14" s="579">
        <f ca="1">ROUND(IF(DESONERACAO="sim",REFERENCIA.Desonerado,REFERENCIA.NaoDesonerado),2)</f>
        <v>0</v>
      </c>
      <c r="AH14" s="580">
        <f ca="1">ROUND(IF(ISNUMBER(ORÇAMENTO.OpcaoBDI),ORÇAMENTO.OpcaoBDI,IF(LEFT(ORÇAMENTO.OpcaoBDI,3)="BDI",HLOOKUP(ORÇAMENTO.OpcaoBDI,$F$4:$H$5,2,FALSE),0)),15-11*$AF$9)</f>
        <v>0.26750000000000002</v>
      </c>
      <c r="AJ14" s="582"/>
      <c r="AL14" s="612"/>
      <c r="AM14" s="431">
        <f t="shared" ref="AM14:AM57" ca="1" si="0">$X14</f>
        <v>0</v>
      </c>
      <c r="AN14" s="654">
        <f ca="1">ROUND(ORÇAMENTO.CustoUnitario*(1+$AH14),2)</f>
        <v>0</v>
      </c>
    </row>
    <row r="15" spans="1:40" x14ac:dyDescent="0.2">
      <c r="A15">
        <v>0</v>
      </c>
      <c r="C15" t="s">
        <v>149</v>
      </c>
      <c r="D15">
        <f ca="1">COUNTA(OFFSET(D15,1,0):D$58)</f>
        <v>42</v>
      </c>
      <c r="E15">
        <v>0</v>
      </c>
      <c r="L15" s="144" t="s">
        <v>246</v>
      </c>
      <c r="M15" s="161" t="str">
        <f>IF(TIPOORCAMENTO="LICITADO","CTEF","LOTE")</f>
        <v>LOTE</v>
      </c>
      <c r="N15" s="161" t="str">
        <f>IF(TIPOORCAMENTO="LICITADO","CTEF","LOTE")</f>
        <v>LOTE</v>
      </c>
      <c r="O15" s="712" t="str">
        <f>Import.DescLote</f>
        <v xml:space="preserve">PAVIMENTAÇÃO ASFALTICA EM CBUQ DE DIVERSAS VIAS DO BAIRRO FUNCIONÁRIOS NO  MUNICIPIO DE SÃO FRANCISCO-MG  </v>
      </c>
      <c r="P15" s="712"/>
      <c r="Q15" s="712"/>
      <c r="R15" s="712"/>
      <c r="S15" s="162"/>
      <c r="T15" s="163"/>
      <c r="U15" s="163"/>
      <c r="V15" s="164"/>
      <c r="W15" s="163"/>
      <c r="X15" s="165">
        <f ca="1">SUMIF(OFFSET($C15,1,0,ROW(X58)-ROW(X15)-1),"S",OFFSET(X15,1,0,ROW(X58)-ROW(X15)-1))</f>
        <v>0</v>
      </c>
      <c r="Y15" s="115"/>
      <c r="Z15" t="str">
        <f ca="1">IF(AND($C15="S",$X15&gt;0),LEFT($Y15,2),"")</f>
        <v/>
      </c>
      <c r="AA15" s="577">
        <f ca="1">SUMIF(OFFSET($C15,1,0,ROW(AA58)-ROW(AA15)-1),"S",OFFSET(AA15,1,0,ROW(AA58)-ROW(AA15)-1))</f>
        <v>0</v>
      </c>
      <c r="AB15" s="166">
        <f ca="1">SUMIF(OFFSET($C15,1,0,ROW(AB58)-ROW(AB15)-1),"S",OFFSET(AB15,1,0,ROW(AB58)-ROW(AB15)-1))</f>
        <v>0</v>
      </c>
      <c r="AC15" s="167"/>
      <c r="AD15" s="105"/>
      <c r="AE15" s="105"/>
      <c r="AF15" s="105"/>
      <c r="AG15" s="614"/>
      <c r="AH15" s="615"/>
      <c r="AJ15" s="581"/>
      <c r="AL15" s="613"/>
      <c r="AM15" s="655">
        <f t="shared" ca="1" si="0"/>
        <v>0</v>
      </c>
      <c r="AN15" s="656"/>
    </row>
    <row r="16" spans="1:40" ht="25.5" x14ac:dyDescent="0.2">
      <c r="A16">
        <f t="shared" ref="A16:A56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56" ca="1" si="2">IF(OR(C16="s",C16=0),OFFSET(B16,-1,0),C16)</f>
        <v>1</v>
      </c>
      <c r="C16">
        <f t="shared" ref="C16:C56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56" ca="1" si="4">IF(OR(C16="S",C16=0),0,IF(ISERROR(K16),J16,SMALL(J16:K16,1)))</f>
        <v>42</v>
      </c>
      <c r="E16">
        <f ca="1">IF($C16=1,OFFSET(E16,-1,0)+MAX(1,COUNTIF(QCI!$A$13:$A$15,OFFSET(ORÇAMENTO!E16,-1,0))),OFFSET(E16,-1,0))</f>
        <v>1</v>
      </c>
      <c r="F16">
        <f t="shared" ref="F16:F56" ca="1" si="5">IF($C16=1,0,IF($C16=2,OFFSET(F16,-1,0)+1,OFFSET(F16,-1,0)))</f>
        <v>0</v>
      </c>
      <c r="G16">
        <f t="shared" ref="G16:G56" ca="1" si="6">IF(AND($C16&lt;=2,$C16&lt;&gt;0),0,IF($C16=3,OFFSET(G16,-1,0)+1,OFFSET(G16,-1,0)))</f>
        <v>0</v>
      </c>
      <c r="H16">
        <f t="shared" ref="H16:H56" ca="1" si="7">IF(AND($C16&lt;=3,$C16&lt;&gt;0),0,IF($C16=4,OFFSET(H16,-1,0)+1,OFFSET(H16,-1,0)))</f>
        <v>0</v>
      </c>
      <c r="I16">
        <f t="shared" ref="I16:I56" ca="1" si="8">IF(AND($C16&lt;=4,$C16&lt;&gt;0),0,IF(AND($C16="S",$X16&gt;0),OFFSET(I16,-1,0)+1,OFFSET(I16,-1,0)))</f>
        <v>0</v>
      </c>
      <c r="J16">
        <f t="shared" ref="J16:J57" ca="1" si="9">IF(OR($C16="S",$C16=0),0,MATCH(0,OFFSET($D16,1,$C16,ROW($C$58)-ROW($C16)),0))</f>
        <v>42</v>
      </c>
      <c r="K16" t="e">
        <f ca="1">IF(OR($C16="S",$C16=0),0,MATCH(OFFSET($D16,0,$C16)+IF($C16&lt;&gt;1,1,COUNTIF(QCI!$A$13:$A$15,ORÇAMENTO!E16)),OFFSET($D16,1,$C16,ROW($C$58)-ROW($C16)),0))</f>
        <v>#N/A</v>
      </c>
      <c r="L16" s="144" t="str">
        <f t="shared" ref="L16:L56" ca="1" si="10">IF(OR($X16&gt;0,$C16=1,$C16=2,$C16=3,$C16=4),"F","")</f>
        <v>F</v>
      </c>
      <c r="M16" s="145" t="s">
        <v>195</v>
      </c>
      <c r="N16" s="146" t="str">
        <f t="shared" ref="N16:N56" ca="1" si="11">CHOOSE(1+LOG(1+2*(C16=1)+4*(C16=2)+8*(C16=3)+16*(C16=4)+32*(C16="S"),2),"","Meta","Nível 2","Nível 3","Nível 4","Serviço")</f>
        <v>Meta</v>
      </c>
      <c r="O16" s="147" t="str">
        <f t="shared" ref="O16:O56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48" t="s">
        <v>247</v>
      </c>
      <c r="Q16" s="149"/>
      <c r="R16" s="150" t="s">
        <v>451</v>
      </c>
      <c r="S16" s="151" t="str">
        <f ca="1">REFERENCIA.Unidade</f>
        <v>-</v>
      </c>
      <c r="T16" s="152">
        <f ca="1">OFFSET(CÁLCULO!H$15,ROW($T16)-ROW(T$15),0)</f>
        <v>0</v>
      </c>
      <c r="U16" s="153"/>
      <c r="V16" s="154" t="s">
        <v>156</v>
      </c>
      <c r="W16" s="152">
        <f ca="1">IF($C16="S",ROUND(IF(TIPOORCAMENTO="Proposto",ORÇAMENTO.CustoUnitario*(1+$AH16),ORÇAMENTO.PrecoUnitarioLicitado),15-13*$AF$10),0)</f>
        <v>0</v>
      </c>
      <c r="X16" s="155">
        <f ca="1">IF($C16="S",IF(Import.TipoArredondamento&lt;&gt;"TransfereGOV",VTOTAL1,SUM(OFFSET(CÁLCULO!$AI$15,ROW($X16)-ROW($X$15),1):OFFSET(CÁLCULO!$BB$15,ROW($X16)-ROW($X$15),-1))),IF($C16=0,0,ROUND(SomaAgrup,15-13*$AF$11)))</f>
        <v>0</v>
      </c>
      <c r="Y16" s="156" t="s">
        <v>245</v>
      </c>
      <c r="Z16" t="str">
        <f t="shared" ref="Z16:Z56" ca="1" si="13">IF(AND($C16="S",$X16&gt;0),IF(ISBLANK($Y16),"RA",LEFT($Y16,2)),"")</f>
        <v/>
      </c>
      <c r="AA16" s="157">
        <f ca="1">IF($C16="S",IF($Z16="CP",$X16,IF($Z16="RA",(($X16)*QCI!$AA$3),0)),SomaAgrup)</f>
        <v>0</v>
      </c>
      <c r="AB16" s="158">
        <f t="shared" ref="AB16:AB56" ca="1" si="14">IF($C16="S",IF($Z16="OU",ROUND($X16,2),0),SomaAgrup)</f>
        <v>0</v>
      </c>
      <c r="AC16" s="159" t="str">
        <f ca="1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 s="105">
        <f ca="1">IF(C16&lt;=CRONO.NivelExibicao,MAX($AD$15:OFFSET(AD16,-1,0))+IF($C16&lt;&gt;1,1,MAX(1,COUNTIF(QCI!$A$13:$A$15,OFFSET($E16,-1,0)))),"")</f>
        <v>1</v>
      </c>
      <c r="AE16" s="115" t="b">
        <f ca="1">IF(AND($C16="S",ORÇAMENTO.CodBarra&lt;&gt;""),IF(ORÇAMENTO.Fonte="",ORÇAMENTO.CodBarra,CONCATENATE(ORÇAMENTO.Fonte," ",ORÇAMENTO.CodBarra)))</f>
        <v>0</v>
      </c>
      <c r="AF16" s="160" t="str">
        <f ca="1">IF(ISERROR(INDIRECT(ORÇAMENTO.BancoRef)),"(abra o arquivo 'Referência "&amp;Excel_BuiltIn_Database&amp;".xlsm)",IF(OR($C16&lt;&gt;"S",ORÇAMENTO.CodBarra=""),"(Sem Código)",IF(ISERROR(MATCH($AE16,INDIRECT(ORÇAMENTO.BancoRef),0)),"(Código não identificado nas referências)",MATCH($AE16,INDIRECT(ORÇAMENTO.BancoRef),0))))</f>
        <v>(abra o arquivo 'Referência 12-2023.xlsm)</v>
      </c>
      <c r="AG16" s="579">
        <f ca="1">ROUND(IF(DESONERACAO="sim",REFERENCIA.Desonerado,REFERENCIA.NaoDesonerado),2)</f>
        <v>0</v>
      </c>
      <c r="AH16" s="580">
        <f t="shared" ref="AH16:AH56" ca="1" si="15">ROUND(IF(ISNUMBER(ORÇAMENTO.OpcaoBDI),ORÇAMENTO.OpcaoBDI,IF(LEFT(ORÇAMENTO.OpcaoBDI,3)="BDI",HLOOKUP(ORÇAMENTO.OpcaoBDI,$F$4:$H$5,2,FALSE),0)),15-11*$AF$9)</f>
        <v>0.26750000000000002</v>
      </c>
      <c r="AJ16" s="582"/>
      <c r="AL16" s="612"/>
      <c r="AM16" s="431">
        <f t="shared" ca="1" si="0"/>
        <v>0</v>
      </c>
      <c r="AN16" s="654">
        <f t="shared" ref="AN16:AN56" ca="1" si="16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3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41</v>
      </c>
      <c r="K17">
        <f ca="1">IF(OR($C17="S",$C17=0),0,MATCH(OFFSET($D17,0,$C17)+IF($C17&lt;&gt;1,1,COUNTIF(QCI!$A$13:$A$15,ORÇAMENTO!E17)),OFFSET($D17,1,$C17,ROW($C$58)-ROW($C17)),0))</f>
        <v>3</v>
      </c>
      <c r="L17" s="144" t="str">
        <f t="shared" ca="1" si="10"/>
        <v>F</v>
      </c>
      <c r="M17" s="145" t="s">
        <v>196</v>
      </c>
      <c r="N17" s="146" t="str">
        <f t="shared" ca="1" si="11"/>
        <v>Nível 2</v>
      </c>
      <c r="O17" s="147" t="str">
        <f t="shared" ca="1" si="12"/>
        <v>1.1.</v>
      </c>
      <c r="P17" s="148" t="s">
        <v>247</v>
      </c>
      <c r="Q17" s="149"/>
      <c r="R17" s="150" t="s">
        <v>457</v>
      </c>
      <c r="S17" s="151" t="str">
        <f ca="1">REFERENCIA.Unidade</f>
        <v>-</v>
      </c>
      <c r="T17" s="152">
        <f ca="1">OFFSET(CÁLCULO!H$15,ROW($T17)-ROW(T$15),0)</f>
        <v>0</v>
      </c>
      <c r="U17" s="153"/>
      <c r="V17" s="154" t="s">
        <v>156</v>
      </c>
      <c r="W17" s="152">
        <f ca="1">IF($C17="S",ROUND(IF(TIPOORCAMENTO="Proposto",ORÇAMENTO.CustoUnitario*(1+$AH17),ORÇAMENTO.PrecoUnitarioLicitado),15-13*$AF$10),0)</f>
        <v>0</v>
      </c>
      <c r="X17" s="155">
        <f ca="1">IF($C17="S",IF(Import.TipoArredondamento&lt;&gt;"TransfereGOV",VTOTAL1,SUM(OFFSET(CÁLCULO!$AI$15,ROW($X17)-ROW($X$15),1):OFFSET(CÁLCULO!$BB$15,ROW($X17)-ROW($X$15),-1))),IF($C17=0,0,ROUND(SomaAgrup,15-13*$AF$11)))</f>
        <v>0</v>
      </c>
      <c r="Y17" s="156" t="s">
        <v>245</v>
      </c>
      <c r="Z17" t="str">
        <f t="shared" ca="1" si="13"/>
        <v/>
      </c>
      <c r="AA17" s="157">
        <f ca="1">IF($C17="S",IF($Z17="CP",$X17,IF($Z17="RA",(($X17)*QCI!$AA$3),0)),SomaAgrup)</f>
        <v>0</v>
      </c>
      <c r="AB17" s="158">
        <f t="shared" ca="1" si="14"/>
        <v>0</v>
      </c>
      <c r="AC17" s="159" t="str">
        <f ca="1">IF($N17="","",IF(ORÇAMENTO.Descricao="","DESCRIÇÃO",IF(AND($C17="S",ORÇAMENTO.Unidade=""),"UNIDADE",IF($X17&lt;0,"VALOR NEGATIVO",IF(OR(AND(TIPOORCAMENTO="Proposto",$AG17&lt;&gt;"",$AG17&gt;0,ORÇAMENTO.CustoUnitario&gt;$AG17),AND(TIPOORCAMENTO="LICITADO",ORÇAMENTO.PrecoUnitarioLicitado&gt;$AN17)),"ACIMA REF.","")))))</f>
        <v/>
      </c>
      <c r="AD17" s="105">
        <f ca="1">IF(C17&lt;=CRONO.NivelExibicao,MAX($AD$15:OFFSET(AD17,-1,0))+IF($C17&lt;&gt;1,1,MAX(1,COUNTIF(QCI!$A$13:$A$15,OFFSET($E17,-1,0)))),"")</f>
        <v>2</v>
      </c>
      <c r="AE17" s="115" t="b">
        <f ca="1">IF(AND($C17="S",ORÇAMENTO.CodBarra&lt;&gt;""),IF(ORÇAMENTO.Fonte="",ORÇAMENTO.CodBarra,CONCATENATE(ORÇAMENTO.Fonte," ",ORÇAMENTO.CodBarra)))</f>
        <v>0</v>
      </c>
      <c r="AF17" s="160" t="str">
        <f ca="1">IF(ISERROR(INDIRECT(ORÇAMENTO.BancoRef)),"(abra o arquivo 'Referência "&amp;Excel_BuiltIn_Database&amp;".xlsm)",IF(OR($C17&lt;&gt;"S",ORÇAMENTO.CodBarra=""),"(Sem Código)",IF(ISERROR(MATCH($AE17,INDIRECT(ORÇAMENTO.BancoRef),0)),"(Código não identificado nas referências)",MATCH($AE17,INDIRECT(ORÇAMENTO.BancoRef),0))))</f>
        <v>(abra o arquivo 'Referência 12-2023.xlsm)</v>
      </c>
      <c r="AG17" s="579">
        <f ca="1">ROUND(IF(DESONERACAO="sim",REFERENCIA.Desonerado,REFERENCIA.NaoDesonerado),2)</f>
        <v>0</v>
      </c>
      <c r="AH17" s="580">
        <f t="shared" ca="1" si="15"/>
        <v>0.26750000000000002</v>
      </c>
      <c r="AJ17" s="582"/>
      <c r="AL17" s="612"/>
      <c r="AM17" s="431">
        <f t="shared" ca="1" si="0"/>
        <v>0</v>
      </c>
      <c r="AN17" s="654">
        <f t="shared" ca="1" si="16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IF(OR($C18="S",$C18=0),0,MATCH(OFFSET($D18,0,$C18)+IF($C18&lt;&gt;1,1,COUNTIF(QCI!$A$13:$A$15,ORÇAMENTO!E18)),OFFSET($D18,1,$C18,ROW($C$58)-ROW($C18)),0))</f>
        <v>0</v>
      </c>
      <c r="L18" s="144" t="str">
        <f t="shared" ca="1" si="10"/>
        <v/>
      </c>
      <c r="M18" s="145" t="s">
        <v>199</v>
      </c>
      <c r="N18" s="146" t="str">
        <f t="shared" ca="1" si="11"/>
        <v>Serviço</v>
      </c>
      <c r="O18" s="147" t="str">
        <f t="shared" ca="1" si="12"/>
        <v>-</v>
      </c>
      <c r="P18" s="148" t="s">
        <v>247</v>
      </c>
      <c r="Q18" s="149" t="s">
        <v>458</v>
      </c>
      <c r="R18" s="150" t="str">
        <f ca="1">IF($C18="S",REFERENCIA.Descricao,"(digite a descrição aqui)")</f>
        <v>(abra o arquivo 'Referência 12-2023.xlsm)</v>
      </c>
      <c r="S18" s="151" t="str">
        <f ca="1">REFERENCIA.Unidade</f>
        <v>-</v>
      </c>
      <c r="T18" s="152">
        <f ca="1">OFFSET(CÁLCULO!H$15,ROW($T18)-ROW(T$15),0)</f>
        <v>4.5</v>
      </c>
      <c r="U18" s="153">
        <f ca="1">AG18</f>
        <v>0</v>
      </c>
      <c r="V18" s="154" t="s">
        <v>156</v>
      </c>
      <c r="W18" s="152">
        <f ca="1">IF($C18="S",ROUND(IF(TIPOORCAMENTO="Proposto",ORÇAMENTO.CustoUnitario*(1+$AH18),ORÇAMENTO.PrecoUnitarioLicitado),15-13*$AF$10),0)</f>
        <v>0</v>
      </c>
      <c r="X18" s="155">
        <f ca="1">IF($C18="S",IF(Import.TipoArredondamento&lt;&gt;"TransfereGOV",VTOTAL1,SUM(OFFSET(CÁLCULO!$AI$15,ROW($X18)-ROW($X$15),1):OFFSET(CÁLCULO!$BB$15,ROW($X18)-ROW($X$15),-1))),IF($C18=0,0,ROUND(SomaAgrup,15-13*$AF$11)))</f>
        <v>0</v>
      </c>
      <c r="Y18" s="156" t="s">
        <v>245</v>
      </c>
      <c r="Z18" t="str">
        <f t="shared" ca="1" si="13"/>
        <v/>
      </c>
      <c r="AA18" s="157">
        <f ca="1">IF($C18="S",IF($Z18="CP",$X18,IF($Z18="RA",(($X18)*QCI!$AA$3),0)),SomaAgrup)</f>
        <v>0</v>
      </c>
      <c r="AB18" s="158">
        <f t="shared" ca="1" si="14"/>
        <v>0</v>
      </c>
      <c r="AC18" s="159" t="str">
        <f ca="1">IF($N18="","",IF(ORÇAMENTO.Descricao="","DESCRIÇÃO",IF(AND($C18="S",ORÇAMENTO.Unidade=""),"UNIDADE",IF($X18&lt;0,"VALOR NEGATIVO",IF(OR(AND(TIPOORCAMENTO="Proposto",$AG18&lt;&gt;"",$AG18&gt;0,ORÇAMENTO.CustoUnitario&gt;$AG18),AND(TIPOORCAMENTO="LICITADO",ORÇAMENTO.PrecoUnitarioLicitado&gt;$AN18)),"ACIMA REF.","")))))</f>
        <v/>
      </c>
      <c r="AD18" s="105" t="str">
        <f ca="1">IF(C18&lt;=CRONO.NivelExibicao,MAX($AD$15:OFFSET(AD18,-1,0))+IF($C18&lt;&gt;1,1,MAX(1,COUNTIF(QCI!$A$13:$A$15,OFFSET($E18,-1,0)))),"")</f>
        <v/>
      </c>
      <c r="AE18" s="115" t="str">
        <f ca="1">IF(AND($C18="S",ORÇAMENTO.CodBarra&lt;&gt;""),IF(ORÇAMENTO.Fonte="",ORÇAMENTO.CodBarra,CONCATENATE(ORÇAMENTO.Fonte," ",ORÇAMENTO.CodBarra)))</f>
        <v>SINAPI 103689</v>
      </c>
      <c r="AF18" s="160" t="str">
        <f ca="1">IF(ISERROR(INDIRECT(ORÇAMENTO.BancoRef)),"(abra o arquivo 'Referência "&amp;Excel_BuiltIn_Database&amp;".xlsm)",IF(OR($C18&lt;&gt;"S",ORÇAMENTO.CodBarra=""),"(Sem Código)",IF(ISERROR(MATCH($AE18,INDIRECT(ORÇAMENTO.BancoRef),0)),"(Código não identificado nas referências)",MATCH($AE18,INDIRECT(ORÇAMENTO.BancoRef),0))))</f>
        <v>(abra o arquivo 'Referência 12-2023.xlsm)</v>
      </c>
      <c r="AG18" s="579">
        <f ca="1">ROUND(IF(DESONERACAO="sim",REFERENCIA.Desonerado,REFERENCIA.NaoDesonerado),2)</f>
        <v>0</v>
      </c>
      <c r="AH18" s="580">
        <f t="shared" ca="1" si="15"/>
        <v>0.26750000000000002</v>
      </c>
      <c r="AJ18" s="582"/>
      <c r="AL18" s="612"/>
      <c r="AM18" s="431">
        <f t="shared" ca="1" si="0"/>
        <v>0</v>
      </c>
      <c r="AN18" s="654">
        <f t="shared" ca="1" si="16"/>
        <v>0</v>
      </c>
    </row>
    <row r="19" spans="1:40" x14ac:dyDescent="0.2">
      <c r="A19" t="str">
        <f t="shared" si="1"/>
        <v>S</v>
      </c>
      <c r="B19">
        <f t="shared" ca="1" si="2"/>
        <v>2</v>
      </c>
      <c r="C19" t="str">
        <f t="shared" ca="1" si="3"/>
        <v>S</v>
      </c>
      <c r="D19">
        <f t="shared" ca="1" si="4"/>
        <v>0</v>
      </c>
      <c r="E19">
        <f ca="1">IF($C19=1,OFFSET(E19,-1,0)+MAX(1,COUNTIF(QCI!$A$13:$A$15,OFFSET(ORÇAMENTO!E19,-1,0))),OFFSET(E19,-1,0))</f>
        <v>1</v>
      </c>
      <c r="F19">
        <f t="shared" ca="1" si="5"/>
        <v>1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0</v>
      </c>
      <c r="K19">
        <f ca="1">IF(OR($C19="S",$C19=0),0,MATCH(OFFSET($D19,0,$C19)+IF($C19&lt;&gt;1,1,COUNTIF(QCI!$A$13:$A$15,ORÇAMENTO!E19)),OFFSET($D19,1,$C19,ROW($C$58)-ROW($C19)),0))</f>
        <v>0</v>
      </c>
      <c r="L19" s="144" t="str">
        <f t="shared" ca="1" si="10"/>
        <v/>
      </c>
      <c r="M19" s="145" t="s">
        <v>199</v>
      </c>
      <c r="N19" s="146" t="str">
        <f t="shared" ca="1" si="11"/>
        <v>Serviço</v>
      </c>
      <c r="O19" s="147" t="str">
        <f t="shared" ca="1" si="12"/>
        <v>-</v>
      </c>
      <c r="P19" s="148" t="s">
        <v>459</v>
      </c>
      <c r="Q19" s="149" t="s">
        <v>460</v>
      </c>
      <c r="R19" s="150" t="str">
        <f ca="1">IF($C19="S",REFERENCIA.Descricao,"(digite a descrição aqui)")</f>
        <v>(abra o arquivo 'Referência 12-2023.xlsm)</v>
      </c>
      <c r="S19" s="151" t="str">
        <f ca="1">REFERENCIA.Unidade</f>
        <v>-</v>
      </c>
      <c r="T19" s="152">
        <f ca="1">OFFSET(CÁLCULO!H$15,ROW($T19)-ROW(T$15),0)</f>
        <v>66.92</v>
      </c>
      <c r="U19" s="153">
        <f t="shared" ref="U19:U57" ca="1" si="17">AG19</f>
        <v>0</v>
      </c>
      <c r="V19" s="154" t="s">
        <v>156</v>
      </c>
      <c r="W19" s="152">
        <f ca="1">IF($C19="S",ROUND(IF(TIPOORCAMENTO="Proposto",ORÇAMENTO.CustoUnitario*(1+$AH19),ORÇAMENTO.PrecoUnitarioLicitado),15-13*$AF$10),0)</f>
        <v>0</v>
      </c>
      <c r="X19" s="155">
        <f ca="1">IF($C19="S",IF(Import.TipoArredondamento&lt;&gt;"TransfereGOV",VTOTAL1,SUM(OFFSET(CÁLCULO!$AI$15,ROW($X19)-ROW($X$15),1):OFFSET(CÁLCULO!$BB$15,ROW($X19)-ROW($X$15),-1))),IF($C19=0,0,ROUND(SomaAgrup,15-13*$AF$11)))</f>
        <v>0</v>
      </c>
      <c r="Y19" s="156" t="s">
        <v>245</v>
      </c>
      <c r="Z19" t="str">
        <f t="shared" ca="1" si="13"/>
        <v/>
      </c>
      <c r="AA19" s="157">
        <f ca="1">IF($C19="S",IF($Z19="CP",$X19,IF($Z19="RA",(($X19)*QCI!$AA$3),0)),SomaAgrup)</f>
        <v>0</v>
      </c>
      <c r="AB19" s="158">
        <f t="shared" ca="1" si="14"/>
        <v>0</v>
      </c>
      <c r="AC19" s="159" t="str">
        <f ca="1">IF($N19="","",IF(ORÇAMENTO.Descricao="","DESCRIÇÃO",IF(AND($C19="S",ORÇAMENTO.Unidade=""),"UNIDADE",IF($X19&lt;0,"VALOR NEGATIVO",IF(OR(AND(TIPOORCAMENTO="Proposto",$AG19&lt;&gt;"",$AG19&gt;0,ORÇAMENTO.CustoUnitario&gt;$AG19),AND(TIPOORCAMENTO="LICITADO",ORÇAMENTO.PrecoUnitarioLicitado&gt;$AN19)),"ACIMA REF.","")))))</f>
        <v/>
      </c>
      <c r="AD19" s="105" t="str">
        <f ca="1">IF(C19&lt;=CRONO.NivelExibicao,MAX($AD$15:OFFSET(AD19,-1,0))+IF($C19&lt;&gt;1,1,MAX(1,COUNTIF(QCI!$A$13:$A$15,OFFSET($E19,-1,0)))),"")</f>
        <v/>
      </c>
      <c r="AE19" s="115" t="str">
        <f ca="1">IF(AND($C19="S",ORÇAMENTO.CodBarra&lt;&gt;""),IF(ORÇAMENTO.Fonte="",ORÇAMENTO.CodBarra,CONCATENATE(ORÇAMENTO.Fonte," ",ORÇAMENTO.CodBarra)))</f>
        <v>SEINFRA RO-41599</v>
      </c>
      <c r="AF19" s="160" t="str">
        <f ca="1">IF(ISERROR(INDIRECT(ORÇAMENTO.BancoRef)),"(abra o arquivo 'Referência "&amp;Excel_BuiltIn_Database&amp;".xlsm)",IF(OR($C19&lt;&gt;"S",ORÇAMENTO.CodBarra=""),"(Sem Código)",IF(ISERROR(MATCH($AE19,INDIRECT(ORÇAMENTO.BancoRef),0)),"(Código não identificado nas referências)",MATCH($AE19,INDIRECT(ORÇAMENTO.BancoRef),0))))</f>
        <v>(abra o arquivo 'Referência 12-2023.xlsm)</v>
      </c>
      <c r="AG19" s="579">
        <f ca="1">ROUND(IF(DESONERACAO="sim",REFERENCIA.Desonerado,REFERENCIA.NaoDesonerado),2)</f>
        <v>0</v>
      </c>
      <c r="AH19" s="580">
        <f t="shared" ca="1" si="15"/>
        <v>0.26750000000000002</v>
      </c>
      <c r="AJ19" s="582"/>
      <c r="AL19" s="612"/>
      <c r="AM19" s="431">
        <f t="shared" ca="1" si="0"/>
        <v>0</v>
      </c>
      <c r="AN19" s="654">
        <f t="shared" ca="1" si="16"/>
        <v>0</v>
      </c>
    </row>
    <row r="20" spans="1:40" x14ac:dyDescent="0.2">
      <c r="A20">
        <f t="shared" si="1"/>
        <v>2</v>
      </c>
      <c r="B20">
        <f t="shared" ca="1" si="2"/>
        <v>2</v>
      </c>
      <c r="C20">
        <f t="shared" ca="1" si="3"/>
        <v>2</v>
      </c>
      <c r="D20">
        <f t="shared" ca="1" si="4"/>
        <v>10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38</v>
      </c>
      <c r="K20">
        <f ca="1">IF(OR($C20="S",$C20=0),0,MATCH(OFFSET($D20,0,$C20)+IF($C20&lt;&gt;1,1,COUNTIF(QCI!$A$13:$A$15,ORÇAMENTO!E20)),OFFSET($D20,1,$C20,ROW($C$58)-ROW($C20)),0))</f>
        <v>10</v>
      </c>
      <c r="L20" s="144" t="str">
        <f t="shared" ca="1" si="10"/>
        <v>F</v>
      </c>
      <c r="M20" s="145" t="s">
        <v>196</v>
      </c>
      <c r="N20" s="146" t="str">
        <f t="shared" ca="1" si="11"/>
        <v>Nível 2</v>
      </c>
      <c r="O20" s="147" t="str">
        <f t="shared" ca="1" si="12"/>
        <v>1.2.</v>
      </c>
      <c r="P20" s="148" t="s">
        <v>247</v>
      </c>
      <c r="Q20" s="149"/>
      <c r="R20" s="150" t="s">
        <v>461</v>
      </c>
      <c r="S20" s="151" t="str">
        <f ca="1">REFERENCIA.Unidade</f>
        <v>-</v>
      </c>
      <c r="T20" s="152">
        <f ca="1">OFFSET(CÁLCULO!H$15,ROW($T20)-ROW(T$15),0)</f>
        <v>0</v>
      </c>
      <c r="U20" s="153">
        <f t="shared" ca="1" si="17"/>
        <v>0</v>
      </c>
      <c r="V20" s="154" t="s">
        <v>156</v>
      </c>
      <c r="W20" s="152">
        <f ca="1">IF($C20="S",ROUND(IF(TIPOORCAMENTO="Proposto",ORÇAMENTO.CustoUnitario*(1+$AH20),ORÇAMENTO.PrecoUnitarioLicitado),15-13*$AF$10),0)</f>
        <v>0</v>
      </c>
      <c r="X20" s="155">
        <f ca="1">IF($C20="S",IF(Import.TipoArredondamento&lt;&gt;"TransfereGOV",VTOTAL1,SUM(OFFSET(CÁLCULO!$AI$15,ROW($X20)-ROW($X$15),1):OFFSET(CÁLCULO!$BB$15,ROW($X20)-ROW($X$15),-1))),IF($C20=0,0,ROUND(SomaAgrup,15-13*$AF$11)))</f>
        <v>0</v>
      </c>
      <c r="Y20" s="156" t="s">
        <v>245</v>
      </c>
      <c r="Z20" t="str">
        <f t="shared" ca="1" si="13"/>
        <v/>
      </c>
      <c r="AA20" s="157">
        <f ca="1">IF($C20="S",IF($Z20="CP",$X20,IF($Z20="RA",(($X20)*QCI!$AA$3),0)),SomaAgrup)</f>
        <v>0</v>
      </c>
      <c r="AB20" s="158">
        <f t="shared" ca="1" si="14"/>
        <v>0</v>
      </c>
      <c r="AC20" s="159" t="str">
        <f ca="1">IF($N20="","",IF(ORÇAMENTO.Descricao="","DESCRIÇÃO",IF(AND($C20="S",ORÇAMENTO.Unidade=""),"UNIDADE",IF($X20&lt;0,"VALOR NEGATIVO",IF(OR(AND(TIPOORCAMENTO="Proposto",$AG20&lt;&gt;"",$AG20&gt;0,ORÇAMENTO.CustoUnitario&gt;$AG20),AND(TIPOORCAMENTO="LICITADO",ORÇAMENTO.PrecoUnitarioLicitado&gt;$AN20)),"ACIMA REF.","")))))</f>
        <v/>
      </c>
      <c r="AD20" s="105">
        <f ca="1">IF(C20&lt;=CRONO.NivelExibicao,MAX($AD$15:OFFSET(AD20,-1,0))+IF($C20&lt;&gt;1,1,MAX(1,COUNTIF(QCI!$A$13:$A$15,OFFSET($E20,-1,0)))),"")</f>
        <v>3</v>
      </c>
      <c r="AE20" s="115" t="b">
        <f ca="1">IF(AND($C20="S",ORÇAMENTO.CodBarra&lt;&gt;""),IF(ORÇAMENTO.Fonte="",ORÇAMENTO.CodBarra,CONCATENATE(ORÇAMENTO.Fonte," ",ORÇAMENTO.CodBarra)))</f>
        <v>0</v>
      </c>
      <c r="AF20" s="160" t="str">
        <f ca="1">IF(ISERROR(INDIRECT(ORÇAMENTO.BancoRef)),"(abra o arquivo 'Referência "&amp;Excel_BuiltIn_Database&amp;".xlsm)",IF(OR($C20&lt;&gt;"S",ORÇAMENTO.CodBarra=""),"(Sem Código)",IF(ISERROR(MATCH($AE20,INDIRECT(ORÇAMENTO.BancoRef),0)),"(Código não identificado nas referências)",MATCH($AE20,INDIRECT(ORÇAMENTO.BancoRef),0))))</f>
        <v>(abra o arquivo 'Referência 12-2023.xlsm)</v>
      </c>
      <c r="AG20" s="579">
        <f ca="1">ROUND(IF(DESONERACAO="sim",REFERENCIA.Desonerado,REFERENCIA.NaoDesonerado),2)</f>
        <v>0</v>
      </c>
      <c r="AH20" s="580">
        <f t="shared" ca="1" si="15"/>
        <v>0.26750000000000002</v>
      </c>
      <c r="AJ20" s="582"/>
      <c r="AL20" s="612"/>
      <c r="AM20" s="431">
        <f t="shared" ca="1" si="0"/>
        <v>0</v>
      </c>
      <c r="AN20" s="654">
        <f t="shared" ca="1" si="16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IF(OR($C21="S",$C21=0),0,MATCH(OFFSET($D21,0,$C21)+IF($C21&lt;&gt;1,1,COUNTIF(QCI!$A$13:$A$15,ORÇAMENTO!E21)),OFFSET($D21,1,$C21,ROW($C$58)-ROW($C21)),0))</f>
        <v>0</v>
      </c>
      <c r="L21" s="144" t="str">
        <f t="shared" ca="1" si="10"/>
        <v/>
      </c>
      <c r="M21" s="145" t="s">
        <v>199</v>
      </c>
      <c r="N21" s="146" t="str">
        <f t="shared" ca="1" si="11"/>
        <v>Serviço</v>
      </c>
      <c r="O21" s="147" t="str">
        <f t="shared" ca="1" si="12"/>
        <v>-</v>
      </c>
      <c r="P21" s="148" t="s">
        <v>247</v>
      </c>
      <c r="Q21" s="149" t="s">
        <v>462</v>
      </c>
      <c r="R21" s="150" t="str">
        <f ca="1">IF($C21="S",REFERENCIA.Descricao,"(digite a descrição aqui)")</f>
        <v>(abra o arquivo 'Referência 12-2023.xlsm)</v>
      </c>
      <c r="S21" s="151" t="str">
        <f ca="1">REFERENCIA.Unidade</f>
        <v>-</v>
      </c>
      <c r="T21" s="152">
        <f ca="1">OFFSET(CÁLCULO!H$15,ROW($T21)-ROW(T$15),0)</f>
        <v>13307.249999999998</v>
      </c>
      <c r="U21" s="153">
        <f t="shared" ca="1" si="17"/>
        <v>0</v>
      </c>
      <c r="V21" s="154" t="s">
        <v>156</v>
      </c>
      <c r="W21" s="152">
        <f ca="1">IF($C21="S",ROUND(IF(TIPOORCAMENTO="Proposto",ORÇAMENTO.CustoUnitario*(1+$AH21),ORÇAMENTO.PrecoUnitarioLicitado),15-13*$AF$10),0)</f>
        <v>0</v>
      </c>
      <c r="X21" s="155">
        <f ca="1">IF($C21="S",IF(Import.TipoArredondamento&lt;&gt;"TransfereGOV",VTOTAL1,SUM(OFFSET(CÁLCULO!$AI$15,ROW($X21)-ROW($X$15),1):OFFSET(CÁLCULO!$BB$15,ROW($X21)-ROW($X$15),-1))),IF($C21=0,0,ROUND(SomaAgrup,15-13*$AF$11)))</f>
        <v>0</v>
      </c>
      <c r="Y21" s="156" t="s">
        <v>245</v>
      </c>
      <c r="Z21" t="str">
        <f t="shared" ca="1" si="13"/>
        <v/>
      </c>
      <c r="AA21" s="157">
        <f ca="1">IF($C21="S",IF($Z21="CP",$X21,IF($Z21="RA",(($X21)*QCI!$AA$3),0)),SomaAgrup)</f>
        <v>0</v>
      </c>
      <c r="AB21" s="158">
        <f t="shared" ca="1" si="14"/>
        <v>0</v>
      </c>
      <c r="AC21" s="159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 s="105" t="str">
        <f ca="1">IF(C21&lt;=CRONO.NivelExibicao,MAX($AD$15:OFFSET(AD21,-1,0))+IF($C21&lt;&gt;1,1,MAX(1,COUNTIF(QCI!$A$13:$A$15,OFFSET($E21,-1,0)))),"")</f>
        <v/>
      </c>
      <c r="AE21" s="115" t="str">
        <f ca="1">IF(AND($C21="S",ORÇAMENTO.CodBarra&lt;&gt;""),IF(ORÇAMENTO.Fonte="",ORÇAMENTO.CodBarra,CONCATENATE(ORÇAMENTO.Fonte," ",ORÇAMENTO.CodBarra)))</f>
        <v>SINAPI 99064</v>
      </c>
      <c r="AF21" s="160" t="str">
        <f ca="1">IF(ISERROR(INDIRECT(ORÇAMENTO.BancoRef)),"(abra o arquivo 'Referência "&amp;Excel_BuiltIn_Database&amp;".xlsm)",IF(OR($C21&lt;&gt;"S",ORÇAMENTO.CodBarra=""),"(Sem Código)",IF(ISERROR(MATCH($AE21,INDIRECT(ORÇAMENTO.BancoRef),0)),"(Código não identificado nas referências)",MATCH($AE21,INDIRECT(ORÇAMENTO.BancoRef),0))))</f>
        <v>(abra o arquivo 'Referência 12-2023.xlsm)</v>
      </c>
      <c r="AG21" s="579">
        <f ca="1">ROUND(IF(DESONERACAO="sim",REFERENCIA.Desonerado,REFERENCIA.NaoDesonerado),2)</f>
        <v>0</v>
      </c>
      <c r="AH21" s="580">
        <f t="shared" ca="1" si="15"/>
        <v>0.26750000000000002</v>
      </c>
      <c r="AJ21" s="582"/>
      <c r="AL21" s="612"/>
      <c r="AM21" s="431">
        <f t="shared" ca="1" si="0"/>
        <v>0</v>
      </c>
      <c r="AN21" s="654">
        <f t="shared" ca="1" si="16"/>
        <v>0</v>
      </c>
    </row>
    <row r="22" spans="1:40" x14ac:dyDescent="0.2">
      <c r="A22" t="str">
        <f t="shared" si="1"/>
        <v>S</v>
      </c>
      <c r="B22">
        <f t="shared" ca="1" si="2"/>
        <v>2</v>
      </c>
      <c r="C22" t="str">
        <f t="shared" ca="1" si="3"/>
        <v>S</v>
      </c>
      <c r="D22">
        <f t="shared" ca="1" si="4"/>
        <v>0</v>
      </c>
      <c r="E22">
        <f ca="1">IF($C22=1,OFFSET(E22,-1,0)+MAX(1,COUNTIF(QCI!$A$13:$A$15,OFFSET(ORÇAMENTO!E22,-1,0))),OFFSET(E22,-1,0))</f>
        <v>1</v>
      </c>
      <c r="F22">
        <f t="shared" ca="1" si="5"/>
        <v>2</v>
      </c>
      <c r="G22">
        <f t="shared" ca="1" si="6"/>
        <v>0</v>
      </c>
      <c r="H22">
        <f t="shared" ca="1" si="7"/>
        <v>0</v>
      </c>
      <c r="I22">
        <f t="shared" ca="1" si="8"/>
        <v>0</v>
      </c>
      <c r="J22">
        <f t="shared" ca="1" si="9"/>
        <v>0</v>
      </c>
      <c r="K22">
        <f ca="1">IF(OR($C22="S",$C22=0),0,MATCH(OFFSET($D22,0,$C22)+IF($C22&lt;&gt;1,1,COUNTIF(QCI!$A$13:$A$15,ORÇAMENTO!E22)),OFFSET($D22,1,$C22,ROW($C$58)-ROW($C22)),0))</f>
        <v>0</v>
      </c>
      <c r="L22" s="144" t="str">
        <f t="shared" ca="1" si="10"/>
        <v/>
      </c>
      <c r="M22" s="145" t="s">
        <v>199</v>
      </c>
      <c r="N22" s="146" t="str">
        <f t="shared" ca="1" si="11"/>
        <v>Serviço</v>
      </c>
      <c r="O22" s="147" t="str">
        <f t="shared" ca="1" si="12"/>
        <v>-</v>
      </c>
      <c r="P22" s="148" t="s">
        <v>247</v>
      </c>
      <c r="Q22" s="149" t="s">
        <v>463</v>
      </c>
      <c r="R22" s="150" t="str">
        <f ca="1">IF($C22="S",REFERENCIA.Descricao,"(digite a descrição aqui)")</f>
        <v>(abra o arquivo 'Referência 12-2023.xlsm)</v>
      </c>
      <c r="S22" s="151" t="str">
        <f ca="1">REFERENCIA.Unidade</f>
        <v>-</v>
      </c>
      <c r="T22" s="152">
        <f ca="1">OFFSET(CÁLCULO!H$15,ROW($T22)-ROW(T$15),0)</f>
        <v>9467.74</v>
      </c>
      <c r="U22" s="153">
        <f t="shared" ca="1" si="17"/>
        <v>0</v>
      </c>
      <c r="V22" s="154" t="s">
        <v>156</v>
      </c>
      <c r="W22" s="152">
        <f ca="1">IF($C22="S",ROUND(IF(TIPOORCAMENTO="Proposto",ORÇAMENTO.CustoUnitario*(1+$AH22),ORÇAMENTO.PrecoUnitarioLicitado),15-13*$AF$10),0)</f>
        <v>0</v>
      </c>
      <c r="X22" s="155">
        <f ca="1">IF($C22="S",IF(Import.TipoArredondamento&lt;&gt;"TransfereGOV",VTOTAL1,SUM(OFFSET(CÁLCULO!$AI$15,ROW($X22)-ROW($X$15),1):OFFSET(CÁLCULO!$BB$15,ROW($X22)-ROW($X$15),-1))),IF($C22=0,0,ROUND(SomaAgrup,15-13*$AF$11)))</f>
        <v>0</v>
      </c>
      <c r="Y22" s="156" t="s">
        <v>245</v>
      </c>
      <c r="Z22" t="str">
        <f t="shared" ca="1" si="13"/>
        <v/>
      </c>
      <c r="AA22" s="157">
        <f ca="1">IF($C22="S",IF($Z22="CP",$X22,IF($Z22="RA",(($X22)*QCI!$AA$3),0)),SomaAgrup)</f>
        <v>0</v>
      </c>
      <c r="AB22" s="158">
        <f t="shared" ca="1" si="14"/>
        <v>0</v>
      </c>
      <c r="AC22" s="159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s="105" t="str">
        <f ca="1">IF(C22&lt;=CRONO.NivelExibicao,MAX($AD$15:OFFSET(AD22,-1,0))+IF($C22&lt;&gt;1,1,MAX(1,COUNTIF(QCI!$A$13:$A$15,OFFSET($E22,-1,0)))),"")</f>
        <v/>
      </c>
      <c r="AE22" s="115" t="str">
        <f ca="1">IF(AND($C22="S",ORÇAMENTO.CodBarra&lt;&gt;""),IF(ORÇAMENTO.Fonte="",ORÇAMENTO.CodBarra,CONCATENATE(ORÇAMENTO.Fonte," ",ORÇAMENTO.CodBarra)))</f>
        <v>SINAPI 101116</v>
      </c>
      <c r="AF22" s="160" t="str">
        <f ca="1">IF(ISERROR(INDIRECT(ORÇAMENTO.BancoRef)),"(abra o arquivo 'Referência "&amp;Excel_BuiltIn_Database&amp;".xlsm)",IF(OR($C22&lt;&gt;"S",ORÇAMENTO.CodBarra=""),"(Sem Código)",IF(ISERROR(MATCH($AE22,INDIRECT(ORÇAMENTO.BancoRef),0)),"(Código não identificado nas referências)",MATCH($AE22,INDIRECT(ORÇAMENTO.BancoRef),0))))</f>
        <v>(abra o arquivo 'Referência 12-2023.xlsm)</v>
      </c>
      <c r="AG22" s="579">
        <f ca="1">ROUND(IF(DESONERACAO="sim",REFERENCIA.Desonerado,REFERENCIA.NaoDesonerado),2)</f>
        <v>0</v>
      </c>
      <c r="AH22" s="580">
        <f t="shared" ca="1" si="15"/>
        <v>0.26750000000000002</v>
      </c>
      <c r="AJ22" s="582"/>
      <c r="AL22" s="612"/>
      <c r="AM22" s="431">
        <f t="shared" ca="1" si="0"/>
        <v>0</v>
      </c>
      <c r="AN22" s="654">
        <f t="shared" ca="1" si="16"/>
        <v>0</v>
      </c>
    </row>
    <row r="23" spans="1:40" x14ac:dyDescent="0.2">
      <c r="A23" t="str">
        <f t="shared" si="1"/>
        <v>S</v>
      </c>
      <c r="B23">
        <f t="shared" ca="1" si="2"/>
        <v>2</v>
      </c>
      <c r="C23" t="str">
        <f t="shared" ca="1" si="3"/>
        <v>S</v>
      </c>
      <c r="D23">
        <f t="shared" ca="1" si="4"/>
        <v>0</v>
      </c>
      <c r="E23">
        <f ca="1">IF($C23=1,OFFSET(E23,-1,0)+MAX(1,COUNTIF(QCI!$A$13:$A$15,OFFSET(ORÇAMENTO!E23,-1,0))),OFFSET(E23,-1,0))</f>
        <v>1</v>
      </c>
      <c r="F23">
        <f t="shared" ca="1" si="5"/>
        <v>2</v>
      </c>
      <c r="G23">
        <f t="shared" ca="1" si="6"/>
        <v>0</v>
      </c>
      <c r="H23">
        <f t="shared" ca="1" si="7"/>
        <v>0</v>
      </c>
      <c r="I23">
        <f t="shared" ca="1" si="8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IF(OR($C23="S",$C23=0),0,MATCH(OFFSET($D23,0,$C23)+IF($C23&lt;&gt;1,1,COUNTIF(QCI!$A$13:$A$15,ORÇAMENTO!E23)),OFFSET($D23,1,$C23,ROW($C$58)-ROW($C23)),0))</f>
        <v>0</v>
      </c>
      <c r="L23" s="144" t="str">
        <f t="shared" ca="1" si="10"/>
        <v/>
      </c>
      <c r="M23" s="145" t="s">
        <v>199</v>
      </c>
      <c r="N23" s="146" t="str">
        <f t="shared" ca="1" si="11"/>
        <v>Serviço</v>
      </c>
      <c r="O23" s="147" t="str">
        <f t="shared" ca="1" si="12"/>
        <v>-</v>
      </c>
      <c r="P23" s="148" t="s">
        <v>247</v>
      </c>
      <c r="Q23" s="149" t="s">
        <v>464</v>
      </c>
      <c r="R23" s="150" t="str">
        <f ca="1">IF($C23="S",REFERENCIA.Descricao,"(digite a descrição aqui)")</f>
        <v>(abra o arquivo 'Referência 12-2023.xlsm)</v>
      </c>
      <c r="S23" s="151" t="str">
        <f ca="1">REFERENCIA.Unidade</f>
        <v>-</v>
      </c>
      <c r="T23" s="152">
        <f ca="1">OFFSET(CÁLCULO!H$15,ROW($T23)-ROW(T$15),0)</f>
        <v>9467.74</v>
      </c>
      <c r="U23" s="153">
        <f t="shared" ca="1" si="17"/>
        <v>0</v>
      </c>
      <c r="V23" s="154" t="s">
        <v>156</v>
      </c>
      <c r="W23" s="152">
        <f ca="1">IF($C23="S",ROUND(IF(TIPOORCAMENTO="Proposto",ORÇAMENTO.CustoUnitario*(1+$AH23),ORÇAMENTO.PrecoUnitarioLicitado),15-13*$AF$10),0)</f>
        <v>0</v>
      </c>
      <c r="X23" s="155">
        <f ca="1">IF($C23="S",IF(Import.TipoArredondamento&lt;&gt;"TransfereGOV",VTOTAL1,SUM(OFFSET(CÁLCULO!$AI$15,ROW($X23)-ROW($X$15),1):OFFSET(CÁLCULO!$BB$15,ROW($X23)-ROW($X$15),-1))),IF($C23=0,0,ROUND(SomaAgrup,15-13*$AF$11)))</f>
        <v>0</v>
      </c>
      <c r="Y23" s="156" t="s">
        <v>245</v>
      </c>
      <c r="Z23" t="str">
        <f t="shared" ca="1" si="13"/>
        <v/>
      </c>
      <c r="AA23" s="157">
        <f ca="1">IF($C23="S",IF($Z23="CP",$X23,IF($Z23="RA",(($X23)*QCI!$AA$3),0)),SomaAgrup)</f>
        <v>0</v>
      </c>
      <c r="AB23" s="158">
        <f t="shared" ca="1" si="14"/>
        <v>0</v>
      </c>
      <c r="AC23" s="159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s="105" t="str">
        <f ca="1">IF(C23&lt;=CRONO.NivelExibicao,MAX($AD$15:OFFSET(AD23,-1,0))+IF($C23&lt;&gt;1,1,MAX(1,COUNTIF(QCI!$A$13:$A$15,OFFSET($E23,-1,0)))),"")</f>
        <v/>
      </c>
      <c r="AE23" s="115" t="str">
        <f ca="1">IF(AND($C23="S",ORÇAMENTO.CodBarra&lt;&gt;""),IF(ORÇAMENTO.Fonte="",ORÇAMENTO.CodBarra,CONCATENATE(ORÇAMENTO.Fonte," ",ORÇAMENTO.CodBarra)))</f>
        <v>SINAPI 100984</v>
      </c>
      <c r="AF23" s="160" t="str">
        <f ca="1">IF(ISERROR(INDIRECT(ORÇAMENTO.BancoRef)),"(abra o arquivo 'Referência "&amp;Excel_BuiltIn_Database&amp;".xlsm)",IF(OR($C23&lt;&gt;"S",ORÇAMENTO.CodBarra=""),"(Sem Código)",IF(ISERROR(MATCH($AE23,INDIRECT(ORÇAMENTO.BancoRef),0)),"(Código não identificado nas referências)",MATCH($AE23,INDIRECT(ORÇAMENTO.BancoRef),0))))</f>
        <v>(abra o arquivo 'Referência 12-2023.xlsm)</v>
      </c>
      <c r="AG23" s="579">
        <f ca="1">ROUND(IF(DESONERACAO="sim",REFERENCIA.Desonerado,REFERENCIA.NaoDesonerado),2)</f>
        <v>0</v>
      </c>
      <c r="AH23" s="580">
        <f t="shared" ca="1" si="15"/>
        <v>0.26750000000000002</v>
      </c>
      <c r="AJ23" s="582"/>
      <c r="AL23" s="612"/>
      <c r="AM23" s="431">
        <f t="shared" ca="1" si="0"/>
        <v>0</v>
      </c>
      <c r="AN23" s="654">
        <f t="shared" ca="1" si="16"/>
        <v>0</v>
      </c>
    </row>
    <row r="24" spans="1:40" x14ac:dyDescent="0.2">
      <c r="A24" t="str">
        <f t="shared" si="1"/>
        <v>S</v>
      </c>
      <c r="B24">
        <f t="shared" ca="1" si="2"/>
        <v>2</v>
      </c>
      <c r="C24" t="str">
        <f t="shared" ca="1" si="3"/>
        <v>S</v>
      </c>
      <c r="D24">
        <f t="shared" ca="1" si="4"/>
        <v>0</v>
      </c>
      <c r="E24">
        <f ca="1">IF($C24=1,OFFSET(E24,-1,0)+MAX(1,COUNTIF(QCI!$A$13:$A$15,OFFSET(ORÇAMENTO!E24,-1,0))),OFFSET(E24,-1,0))</f>
        <v>1</v>
      </c>
      <c r="F24">
        <f t="shared" ca="1" si="5"/>
        <v>2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0</v>
      </c>
      <c r="K24">
        <f ca="1">IF(OR($C24="S",$C24=0),0,MATCH(OFFSET($D24,0,$C24)+IF($C24&lt;&gt;1,1,COUNTIF(QCI!$A$13:$A$15,ORÇAMENTO!E24)),OFFSET($D24,1,$C24,ROW($C$58)-ROW($C24)),0))</f>
        <v>0</v>
      </c>
      <c r="L24" s="144" t="str">
        <f t="shared" ca="1" si="10"/>
        <v/>
      </c>
      <c r="M24" s="145" t="s">
        <v>199</v>
      </c>
      <c r="N24" s="146" t="str">
        <f t="shared" ca="1" si="11"/>
        <v>Serviço</v>
      </c>
      <c r="O24" s="147" t="str">
        <f t="shared" ca="1" si="12"/>
        <v>-</v>
      </c>
      <c r="P24" s="148" t="s">
        <v>247</v>
      </c>
      <c r="Q24" s="149" t="s">
        <v>465</v>
      </c>
      <c r="R24" s="150" t="str">
        <f ca="1">IF($C24="S",REFERENCIA.Descricao,"(digite a descrição aqui)")</f>
        <v>(abra o arquivo 'Referência 12-2023.xlsm)</v>
      </c>
      <c r="S24" s="151" t="str">
        <f ca="1">REFERENCIA.Unidade</f>
        <v>-</v>
      </c>
      <c r="T24" s="152">
        <f ca="1">OFFSET(CÁLCULO!H$15,ROW($T24)-ROW(T$15),0)</f>
        <v>6627.42</v>
      </c>
      <c r="U24" s="153">
        <f t="shared" ca="1" si="17"/>
        <v>0</v>
      </c>
      <c r="V24" s="154" t="s">
        <v>156</v>
      </c>
      <c r="W24" s="152">
        <f ca="1">IF($C24="S",ROUND(IF(TIPOORCAMENTO="Proposto",ORÇAMENTO.CustoUnitario*(1+$AH24),ORÇAMENTO.PrecoUnitarioLicitado),15-13*$AF$10),0)</f>
        <v>0</v>
      </c>
      <c r="X24" s="155">
        <f ca="1">IF($C24="S",IF(Import.TipoArredondamento&lt;&gt;"TransfereGOV",VTOTAL1,SUM(OFFSET(CÁLCULO!$AI$15,ROW($X24)-ROW($X$15),1):OFFSET(CÁLCULO!$BB$15,ROW($X24)-ROW($X$15),-1))),IF($C24=0,0,ROUND(SomaAgrup,15-13*$AF$11)))</f>
        <v>0</v>
      </c>
      <c r="Y24" s="156" t="s">
        <v>245</v>
      </c>
      <c r="Z24" t="str">
        <f t="shared" ca="1" si="13"/>
        <v/>
      </c>
      <c r="AA24" s="157">
        <f ca="1">IF($C24="S",IF($Z24="CP",$X24,IF($Z24="RA",(($X24)*QCI!$AA$3),0)),SomaAgrup)</f>
        <v>0</v>
      </c>
      <c r="AB24" s="158">
        <f t="shared" ca="1" si="14"/>
        <v>0</v>
      </c>
      <c r="AC24" s="159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s="105" t="str">
        <f ca="1">IF(C24&lt;=CRONO.NivelExibicao,MAX($AD$15:OFFSET(AD24,-1,0))+IF($C24&lt;&gt;1,1,MAX(1,COUNTIF(QCI!$A$13:$A$15,OFFSET($E24,-1,0)))),"")</f>
        <v/>
      </c>
      <c r="AE24" s="115" t="str">
        <f ca="1">IF(AND($C24="S",ORÇAMENTO.CodBarra&lt;&gt;""),IF(ORÇAMENTO.Fonte="",ORÇAMENTO.CodBarra,CONCATENATE(ORÇAMENTO.Fonte," ",ORÇAMENTO.CodBarra)))</f>
        <v>SINAPI 93588</v>
      </c>
      <c r="AF24" s="160" t="str">
        <f ca="1">IF(ISERROR(INDIRECT(ORÇAMENTO.BancoRef)),"(abra o arquivo 'Referência "&amp;Excel_BuiltIn_Database&amp;".xlsm)",IF(OR($C24&lt;&gt;"S",ORÇAMENTO.CodBarra=""),"(Sem Código)",IF(ISERROR(MATCH($AE24,INDIRECT(ORÇAMENTO.BancoRef),0)),"(Código não identificado nas referências)",MATCH($AE24,INDIRECT(ORÇAMENTO.BancoRef),0))))</f>
        <v>(abra o arquivo 'Referência 12-2023.xlsm)</v>
      </c>
      <c r="AG24" s="579">
        <f ca="1">ROUND(IF(DESONERACAO="sim",REFERENCIA.Desonerado,REFERENCIA.NaoDesonerado),2)</f>
        <v>0</v>
      </c>
      <c r="AH24" s="580">
        <f t="shared" ca="1" si="15"/>
        <v>0.26750000000000002</v>
      </c>
      <c r="AJ24" s="582"/>
      <c r="AL24" s="612"/>
      <c r="AM24" s="431">
        <f t="shared" ca="1" si="0"/>
        <v>0</v>
      </c>
      <c r="AN24" s="654">
        <f t="shared" ca="1" si="16"/>
        <v>0</v>
      </c>
    </row>
    <row r="25" spans="1:40" x14ac:dyDescent="0.2">
      <c r="A25" t="str">
        <f t="shared" si="1"/>
        <v>S</v>
      </c>
      <c r="B25">
        <f t="shared" ca="1" si="2"/>
        <v>2</v>
      </c>
      <c r="C25" t="str">
        <f t="shared" ca="1" si="3"/>
        <v>S</v>
      </c>
      <c r="D25">
        <f t="shared" ca="1" si="4"/>
        <v>0</v>
      </c>
      <c r="E25">
        <f ca="1">IF($C25=1,OFFSET(E25,-1,0)+MAX(1,COUNTIF(QCI!$A$13:$A$15,OFFSET(ORÇAMENTO!E25,-1,0))),OFFSET(E25,-1,0))</f>
        <v>1</v>
      </c>
      <c r="F25">
        <f t="shared" ca="1" si="5"/>
        <v>2</v>
      </c>
      <c r="G25">
        <f t="shared" ca="1" si="6"/>
        <v>0</v>
      </c>
      <c r="H25">
        <f t="shared" ca="1" si="7"/>
        <v>0</v>
      </c>
      <c r="I25">
        <f t="shared" ca="1" si="8"/>
        <v>0</v>
      </c>
      <c r="J25">
        <f t="shared" ca="1" si="9"/>
        <v>0</v>
      </c>
      <c r="K25">
        <f ca="1">IF(OR($C25="S",$C25=0),0,MATCH(OFFSET($D25,0,$C25)+IF($C25&lt;&gt;1,1,COUNTIF(QCI!$A$13:$A$15,ORÇAMENTO!E25)),OFFSET($D25,1,$C25,ROW($C$58)-ROW($C25)),0))</f>
        <v>0</v>
      </c>
      <c r="L25" s="144" t="str">
        <f t="shared" ca="1" si="10"/>
        <v/>
      </c>
      <c r="M25" s="145" t="s">
        <v>199</v>
      </c>
      <c r="N25" s="146" t="str">
        <f t="shared" ca="1" si="11"/>
        <v>Serviço</v>
      </c>
      <c r="O25" s="147" t="str">
        <f t="shared" ca="1" si="12"/>
        <v>-</v>
      </c>
      <c r="P25" s="148" t="s">
        <v>247</v>
      </c>
      <c r="Q25" s="149" t="s">
        <v>466</v>
      </c>
      <c r="R25" s="150" t="str">
        <f ca="1">IF($C25="S",REFERENCIA.Descricao,"(digite a descrição aqui)")</f>
        <v>(abra o arquivo 'Referência 12-2023.xlsm)</v>
      </c>
      <c r="S25" s="151" t="str">
        <f ca="1">REFERENCIA.Unidade</f>
        <v>-</v>
      </c>
      <c r="T25" s="152">
        <f ca="1">OFFSET(CÁLCULO!H$15,ROW($T25)-ROW(T$15),0)</f>
        <v>31559.17</v>
      </c>
      <c r="U25" s="153">
        <f t="shared" ca="1" si="17"/>
        <v>0</v>
      </c>
      <c r="V25" s="154" t="s">
        <v>156</v>
      </c>
      <c r="W25" s="152">
        <f ca="1">IF($C25="S",ROUND(IF(TIPOORCAMENTO="Proposto",ORÇAMENTO.CustoUnitario*(1+$AH25),ORÇAMENTO.PrecoUnitarioLicitado),15-13*$AF$10),0)</f>
        <v>0</v>
      </c>
      <c r="X25" s="155">
        <f ca="1">IF($C25="S",IF(Import.TipoArredondamento&lt;&gt;"TransfereGOV",VTOTAL1,SUM(OFFSET(CÁLCULO!$AI$15,ROW($X25)-ROW($X$15),1):OFFSET(CÁLCULO!$BB$15,ROW($X25)-ROW($X$15),-1))),IF($C25=0,0,ROUND(SomaAgrup,15-13*$AF$11)))</f>
        <v>0</v>
      </c>
      <c r="Y25" s="156" t="s">
        <v>245</v>
      </c>
      <c r="Z25" t="str">
        <f t="shared" ca="1" si="13"/>
        <v/>
      </c>
      <c r="AA25" s="157">
        <f ca="1">IF($C25="S",IF($Z25="CP",$X25,IF($Z25="RA",(($X25)*QCI!$AA$3),0)),SomaAgrup)</f>
        <v>0</v>
      </c>
      <c r="AB25" s="158">
        <f t="shared" ca="1" si="14"/>
        <v>0</v>
      </c>
      <c r="AC25" s="159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s="105" t="str">
        <f ca="1">IF(C25&lt;=CRONO.NivelExibicao,MAX($AD$15:OFFSET(AD25,-1,0))+IF($C25&lt;&gt;1,1,MAX(1,COUNTIF(QCI!$A$13:$A$15,OFFSET($E25,-1,0)))),"")</f>
        <v/>
      </c>
      <c r="AE25" s="115" t="str">
        <f ca="1">IF(AND($C25="S",ORÇAMENTO.CodBarra&lt;&gt;""),IF(ORÇAMENTO.Fonte="",ORÇAMENTO.CodBarra,CONCATENATE(ORÇAMENTO.Fonte," ",ORÇAMENTO.CodBarra)))</f>
        <v>SINAPI 100576</v>
      </c>
      <c r="AF25" s="160" t="str">
        <f ca="1">IF(ISERROR(INDIRECT(ORÇAMENTO.BancoRef)),"(abra o arquivo 'Referência "&amp;Excel_BuiltIn_Database&amp;".xlsm)",IF(OR($C25&lt;&gt;"S",ORÇAMENTO.CodBarra=""),"(Sem Código)",IF(ISERROR(MATCH($AE25,INDIRECT(ORÇAMENTO.BancoRef),0)),"(Código não identificado nas referências)",MATCH($AE25,INDIRECT(ORÇAMENTO.BancoRef),0))))</f>
        <v>(abra o arquivo 'Referência 12-2023.xlsm)</v>
      </c>
      <c r="AG25" s="579">
        <f ca="1">ROUND(IF(DESONERACAO="sim",REFERENCIA.Desonerado,REFERENCIA.NaoDesonerado),2)</f>
        <v>0</v>
      </c>
      <c r="AH25" s="580">
        <f t="shared" ca="1" si="15"/>
        <v>0.26750000000000002</v>
      </c>
      <c r="AJ25" s="582"/>
      <c r="AL25" s="612"/>
      <c r="AM25" s="431">
        <f t="shared" ca="1" si="0"/>
        <v>0</v>
      </c>
      <c r="AN25" s="654">
        <f t="shared" ca="1" si="16"/>
        <v>0</v>
      </c>
    </row>
    <row r="26" spans="1:40" x14ac:dyDescent="0.2">
      <c r="A26" t="str">
        <f t="shared" si="1"/>
        <v>S</v>
      </c>
      <c r="B26">
        <f t="shared" ca="1" si="2"/>
        <v>2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2</v>
      </c>
      <c r="G26">
        <f t="shared" ca="1" si="6"/>
        <v>0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IF(OR($C26="S",$C26=0),0,MATCH(OFFSET($D26,0,$C26)+IF($C26&lt;&gt;1,1,COUNTIF(QCI!$A$13:$A$15,ORÇAMENTO!E26)),OFFSET($D26,1,$C26,ROW($C$58)-ROW($C26)),0))</f>
        <v>0</v>
      </c>
      <c r="L26" s="144" t="str">
        <f t="shared" ca="1" si="10"/>
        <v/>
      </c>
      <c r="M26" s="145" t="s">
        <v>199</v>
      </c>
      <c r="N26" s="146" t="str">
        <f t="shared" ca="1" si="11"/>
        <v>Serviço</v>
      </c>
      <c r="O26" s="147" t="str">
        <f t="shared" ca="1" si="12"/>
        <v>-</v>
      </c>
      <c r="P26" s="148" t="s">
        <v>247</v>
      </c>
      <c r="Q26" s="149" t="s">
        <v>467</v>
      </c>
      <c r="R26" s="150" t="str">
        <f ca="1">IF($C26="S",REFERENCIA.Descricao,"(digite a descrição aqui)")</f>
        <v>(abra o arquivo 'Referência 12-2023.xlsm)</v>
      </c>
      <c r="S26" s="151" t="str">
        <f ca="1">REFERENCIA.Unidade</f>
        <v>-</v>
      </c>
      <c r="T26" s="152">
        <f ca="1">OFFSET(CÁLCULO!H$15,ROW($T26)-ROW(T$15),0)</f>
        <v>3237.97</v>
      </c>
      <c r="U26" s="153">
        <f t="shared" ca="1" si="17"/>
        <v>0</v>
      </c>
      <c r="V26" s="154" t="s">
        <v>156</v>
      </c>
      <c r="W26" s="152">
        <f ca="1">IF($C26="S",ROUND(IF(TIPOORCAMENTO="Proposto",ORÇAMENTO.CustoUnitario*(1+$AH26),ORÇAMENTO.PrecoUnitarioLicitado),15-13*$AF$10),0)</f>
        <v>0</v>
      </c>
      <c r="X26" s="155">
        <f ca="1">IF($C26="S",IF(Import.TipoArredondamento&lt;&gt;"TransfereGOV",VTOTAL1,SUM(OFFSET(CÁLCULO!$AI$15,ROW($X26)-ROW($X$15),1):OFFSET(CÁLCULO!$BB$15,ROW($X26)-ROW($X$15),-1))),IF($C26=0,0,ROUND(SomaAgrup,15-13*$AF$11)))</f>
        <v>0</v>
      </c>
      <c r="Y26" s="156" t="s">
        <v>245</v>
      </c>
      <c r="Z26" t="str">
        <f t="shared" ca="1" si="13"/>
        <v/>
      </c>
      <c r="AA26" s="157">
        <f ca="1">IF($C26="S",IF($Z26="CP",$X26,IF($Z26="RA",(($X26)*QCI!$AA$3),0)),SomaAgrup)</f>
        <v>0</v>
      </c>
      <c r="AB26" s="158">
        <f t="shared" ca="1" si="14"/>
        <v>0</v>
      </c>
      <c r="AC26" s="159" t="str">
        <f ca="1">IF($N26="","",IF(ORÇAMENTO.Descricao="","DESCRIÇÃO",IF(AND($C26="S",ORÇAMENTO.Unidade=""),"UNIDADE",IF($X26&lt;0,"VALOR NEGATIVO",IF(OR(AND(TIPOORCAMENTO="Proposto",$AG26&lt;&gt;"",$AG26&gt;0,ORÇAMENTO.CustoUnitario&gt;$AG26),AND(TIPOORCAMENTO="LICITADO",ORÇAMENTO.PrecoUnitarioLicitado&gt;$AN26)),"ACIMA REF.","")))))</f>
        <v/>
      </c>
      <c r="AD26" s="105" t="str">
        <f ca="1">IF(C26&lt;=CRONO.NivelExibicao,MAX($AD$15:OFFSET(AD26,-1,0))+IF($C26&lt;&gt;1,1,MAX(1,COUNTIF(QCI!$A$13:$A$15,OFFSET($E26,-1,0)))),"")</f>
        <v/>
      </c>
      <c r="AE26" s="115" t="str">
        <f ca="1">IF(AND($C26="S",ORÇAMENTO.CodBarra&lt;&gt;""),IF(ORÇAMENTO.Fonte="",ORÇAMENTO.CodBarra,CONCATENATE(ORÇAMENTO.Fonte," ",ORÇAMENTO.CodBarra)))</f>
        <v>SINAPI 95425</v>
      </c>
      <c r="AF26" s="160" t="str">
        <f ca="1">IF(ISERROR(INDIRECT(ORÇAMENTO.BancoRef)),"(abra o arquivo 'Referência "&amp;Excel_BuiltIn_Database&amp;".xlsm)",IF(OR($C26&lt;&gt;"S",ORÇAMENTO.CodBarra=""),"(Sem Código)",IF(ISERROR(MATCH($AE26,INDIRECT(ORÇAMENTO.BancoRef),0)),"(Código não identificado nas referências)",MATCH($AE26,INDIRECT(ORÇAMENTO.BancoRef),0))))</f>
        <v>(abra o arquivo 'Referência 12-2023.xlsm)</v>
      </c>
      <c r="AG26" s="579">
        <f ca="1">ROUND(IF(DESONERACAO="sim",REFERENCIA.Desonerado,REFERENCIA.NaoDesonerado),2)</f>
        <v>0</v>
      </c>
      <c r="AH26" s="580">
        <f t="shared" ca="1" si="15"/>
        <v>0.26750000000000002</v>
      </c>
      <c r="AJ26" s="582"/>
      <c r="AL26" s="612"/>
      <c r="AM26" s="431">
        <f t="shared" ca="1" si="0"/>
        <v>0</v>
      </c>
      <c r="AN26" s="654">
        <f t="shared" ca="1" si="16"/>
        <v>0</v>
      </c>
    </row>
    <row r="27" spans="1:40" x14ac:dyDescent="0.2">
      <c r="A27" t="str">
        <f>CHOOSE(1+LOG(1+2*(ORÇAMENTO.Nivel="Meta")+4*(ORÇAMENTO.Nivel="Nível 2")+8*(ORÇAMENTO.Nivel="Nível 3")+16*(ORÇAMENTO.Nivel="Nível 4")+32*(ORÇAMENTO.Nivel="Serviço"),2),0,1,2,3,4,"S")</f>
        <v>S</v>
      </c>
      <c r="B27">
        <f ca="1">IF(OR(C27="s",C27=0),OFFSET(B27,-1,0),C27)</f>
        <v>2</v>
      </c>
      <c r="C27" t="str">
        <f ca="1">IF(OFFSET(C27,-1,0)="L",1,IF(OFFSET(C27,-1,0)=1,2,IF(OR(A27="s",A27=0),"S",IF(AND(OFFSET(C27,-1,0)=2,A27=4),3,IF(AND(OR(OFFSET(C27,-1,0)="s",OFFSET(C27,-1,0)=0),A27&lt;&gt;"s",A27&gt;OFFSET(B27,-1,0)),OFFSET(B27,-1,0),A27)))))</f>
        <v>S</v>
      </c>
      <c r="D27">
        <f ca="1">IF(OR(C27="S",C27=0),0,IF(ISERROR(K27),J27,SMALL(J27:K27,1)))</f>
        <v>0</v>
      </c>
      <c r="E27">
        <f ca="1">IF($C27=1,OFFSET(E27,-1,0)+MAX(1,COUNTIF(QCI!$A$13:$A$15,OFFSET(ORÇAMENTO!E27,-1,0))),OFFSET(E27,-1,0))</f>
        <v>1</v>
      </c>
      <c r="F27">
        <f ca="1">IF($C27=1,0,IF($C27=2,OFFSET(F27,-1,0)+1,OFFSET(F27,-1,0)))</f>
        <v>2</v>
      </c>
      <c r="G27">
        <f ca="1">IF(AND($C27&lt;=2,$C27&lt;&gt;0),0,IF($C27=3,OFFSET(G27,-1,0)+1,OFFSET(G27,-1,0)))</f>
        <v>0</v>
      </c>
      <c r="H27">
        <f ca="1">IF(AND($C27&lt;=3,$C27&lt;&gt;0),0,IF($C27=4,OFFSET(H27,-1,0)+1,OFFSET(H27,-1,0)))</f>
        <v>0</v>
      </c>
      <c r="I27">
        <f ca="1">IF(AND($C27&lt;=4,$C27&lt;&gt;0),0,IF(AND($C27="S",$X27&gt;0),OFFSET(I27,-1,0)+1,OFFSET(I27,-1,0)))</f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IF(OR($C27="S",$C27=0),0,MATCH(OFFSET($D27,0,$C27)+IF($C27&lt;&gt;1,1,COUNTIF(QCI!$A$13:$A$15,ORÇAMENTO!E27)),OFFSET($D27,1,$C27,ROW($C$58)-ROW($C27)),0))</f>
        <v>0</v>
      </c>
      <c r="L27" s="144" t="str">
        <f ca="1">IF(OR($X27&gt;0,$C27=1,$C27=2,$C27=3,$C27=4),"F","")</f>
        <v/>
      </c>
      <c r="M27" s="145" t="s">
        <v>199</v>
      </c>
      <c r="N27" s="146" t="str">
        <f ca="1">CHOOSE(1+LOG(1+2*(C27=1)+4*(C27=2)+8*(C27=3)+16*(C27=4)+32*(C27="S"),2),"","Meta","Nível 2","Nível 3","Nível 4","Serviço")</f>
        <v>Serviço</v>
      </c>
      <c r="O27" s="147" t="str">
        <f ca="1">IF(OR($C27=0,$L27=""),"-",CONCATENATE(E27&amp;".",IF(AND($A$5&gt;=2,$C27&gt;=2),F27&amp;".",""),IF(AND($A$5&gt;=3,$C27&gt;=3),G27&amp;".",""),IF(AND($A$5&gt;=4,$C27&gt;=4),H27&amp;".",""),IF($C27="S",I27&amp;".","")))</f>
        <v>-</v>
      </c>
      <c r="P27" s="148" t="s">
        <v>247</v>
      </c>
      <c r="Q27" s="149" t="s">
        <v>467</v>
      </c>
      <c r="R27" s="150" t="str">
        <f ca="1">IF($C27="S",REFERENCIA.Descricao,"(digite a descrição aqui)")</f>
        <v>(abra o arquivo 'Referência 12-2023.xlsm)</v>
      </c>
      <c r="S27" s="151" t="str">
        <f ca="1">REFERENCIA.Unidade</f>
        <v>-</v>
      </c>
      <c r="T27" s="152">
        <f ca="1">OFFSET(CÁLCULO!H$15,ROW($T27)-ROW(T$15),0)</f>
        <v>27014.65</v>
      </c>
      <c r="U27" s="153">
        <f t="shared" ca="1" si="17"/>
        <v>0</v>
      </c>
      <c r="V27" s="154" t="s">
        <v>156</v>
      </c>
      <c r="W27" s="152">
        <f ca="1">IF($C27="S",ROUND(IF(TIPOORCAMENTO="Proposto",ORÇAMENTO.CustoUnitario*(1+$AH27),ORÇAMENTO.PrecoUnitarioLicitado),15-13*$AF$10),0)</f>
        <v>0</v>
      </c>
      <c r="X27" s="155">
        <f ca="1">IF($C27="S",IF(Import.TipoArredondamento&lt;&gt;"TransfereGOV",VTOTAL1,SUM(OFFSET(CÁLCULO!$AI$15,ROW($X27)-ROW($X$15),1):OFFSET(CÁLCULO!$BB$15,ROW($X27)-ROW($X$15),-1))),IF($C27=0,0,ROUND(SomaAgrup,15-13*$AF$11)))</f>
        <v>0</v>
      </c>
      <c r="Y27" s="156" t="s">
        <v>245</v>
      </c>
      <c r="Z27" t="str">
        <f ca="1">IF(AND($C27="S",$X27&gt;0),IF(ISBLANK($Y27),"RA",LEFT($Y27,2)),"")</f>
        <v/>
      </c>
      <c r="AA27" s="157">
        <f ca="1">IF($C27="S",IF($Z27="CP",$X27,IF($Z27="RA",(($X27)*QCI!$AA$3),0)),SomaAgrup)</f>
        <v>0</v>
      </c>
      <c r="AB27" s="158">
        <f ca="1">IF($C27="S",IF($Z27="OU",ROUND($X27,2),0),SomaAgrup)</f>
        <v>0</v>
      </c>
      <c r="AC27" s="159" t="str">
        <f ca="1">IF($N27="","",IF(ORÇAMENTO.Descricao="","DESCRIÇÃO",IF(AND($C27="S",ORÇAMENTO.Unidade=""),"UNIDADE",IF($X27&lt;0,"VALOR NEGATIVO",IF(OR(AND(TIPOORCAMENTO="Proposto",$AG27&lt;&gt;"",$AG27&gt;0,ORÇAMENTO.CustoUnitario&gt;$AG27),AND(TIPOORCAMENTO="LICITADO",ORÇAMENTO.PrecoUnitarioLicitado&gt;$AN27)),"ACIMA REF.","")))))</f>
        <v/>
      </c>
      <c r="AD27" s="665" t="str">
        <f ca="1">IF(C27&lt;=CRONO.NivelExibicao,MAX($AD$15:OFFSET(AD27,-1,0))+IF($C27&lt;&gt;1,1,MAX(1,COUNTIF(QCI!$A$13:$A$15,OFFSET($E27,-1,0)))),"")</f>
        <v/>
      </c>
      <c r="AE27" s="115" t="str">
        <f ca="1">IF(AND($C27="S",ORÇAMENTO.CodBarra&lt;&gt;""),IF(ORÇAMENTO.Fonte="",ORÇAMENTO.CodBarra,CONCATENATE(ORÇAMENTO.Fonte," ",ORÇAMENTO.CodBarra)))</f>
        <v>SINAPI 95425</v>
      </c>
      <c r="AF27" s="160" t="str">
        <f ca="1">IF(ISERROR(INDIRECT(ORÇAMENTO.BancoRef)),"(abra o arquivo 'Referência "&amp;Excel_BuiltIn_Database&amp;".xlsm)",IF(OR($C27&lt;&gt;"S",ORÇAMENTO.CodBarra=""),"(Sem Código)",IF(ISERROR(MATCH($AE27,INDIRECT(ORÇAMENTO.BancoRef),0)),"(Código não identificado nas referências)",MATCH($AE27,INDIRECT(ORÇAMENTO.BancoRef),0))))</f>
        <v>(abra o arquivo 'Referência 12-2023.xlsm)</v>
      </c>
      <c r="AG27" s="579">
        <f ca="1">ROUND(IF(DESONERACAO="sim",REFERENCIA.Desonerado,REFERENCIA.NaoDesonerado),2)</f>
        <v>0</v>
      </c>
      <c r="AH27" s="580">
        <f ca="1">ROUND(IF(ISNUMBER(ORÇAMENTO.OpcaoBDI),ORÇAMENTO.OpcaoBDI,IF(LEFT(ORÇAMENTO.OpcaoBDI,3)="BDI",HLOOKUP(ORÇAMENTO.OpcaoBDI,$F$4:$H$5,2,FALSE),0)),15-11*$AF$9)</f>
        <v>0.26750000000000002</v>
      </c>
      <c r="AJ27" s="582"/>
      <c r="AL27" s="612"/>
      <c r="AM27" s="431">
        <f t="shared" ca="1" si="0"/>
        <v>0</v>
      </c>
      <c r="AN27" s="654">
        <f ca="1">ROUND(ORÇAMENTO.CustoUnitario*(1+$AH27),2)</f>
        <v>0</v>
      </c>
    </row>
    <row r="28" spans="1:40" x14ac:dyDescent="0.2">
      <c r="A28" t="str">
        <f t="shared" si="1"/>
        <v>S</v>
      </c>
      <c r="B28">
        <f t="shared" ca="1" si="2"/>
        <v>2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2</v>
      </c>
      <c r="G28">
        <f t="shared" ca="1" si="6"/>
        <v>0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IF(OR($C28="S",$C28=0),0,MATCH(OFFSET($D28,0,$C28)+IF($C28&lt;&gt;1,1,COUNTIF(QCI!$A$13:$A$15,ORÇAMENTO!E28)),OFFSET($D28,1,$C28,ROW($C$58)-ROW($C28)),0))</f>
        <v>0</v>
      </c>
      <c r="L28" s="144" t="str">
        <f t="shared" ca="1" si="10"/>
        <v/>
      </c>
      <c r="M28" s="145" t="s">
        <v>199</v>
      </c>
      <c r="N28" s="146" t="str">
        <f t="shared" ca="1" si="11"/>
        <v>Serviço</v>
      </c>
      <c r="O28" s="147" t="str">
        <f t="shared" ca="1" si="12"/>
        <v>-</v>
      </c>
      <c r="P28" s="148" t="s">
        <v>247</v>
      </c>
      <c r="Q28" s="149" t="s">
        <v>498</v>
      </c>
      <c r="R28" s="150" t="str">
        <f ca="1">IF($C28="S",REFERENCIA.Descricao,"(digite a descrição aqui)")</f>
        <v>(abra o arquivo 'Referência 12-2023.xlsm)</v>
      </c>
      <c r="S28" s="151" t="str">
        <f ca="1">REFERENCIA.Unidade</f>
        <v>-</v>
      </c>
      <c r="T28" s="152">
        <f ca="1">OFFSET(CÁLCULO!H$15,ROW($T28)-ROW(T$15),0)</f>
        <v>4733.87</v>
      </c>
      <c r="U28" s="153">
        <f t="shared" ca="1" si="17"/>
        <v>0</v>
      </c>
      <c r="V28" s="154" t="s">
        <v>156</v>
      </c>
      <c r="W28" s="152">
        <f ca="1">IF($C28="S",ROUND(IF(TIPOORCAMENTO="Proposto",ORÇAMENTO.CustoUnitario*(1+$AH28),ORÇAMENTO.PrecoUnitarioLicitado),15-13*$AF$10),0)</f>
        <v>0</v>
      </c>
      <c r="X28" s="155">
        <f ca="1">IF($C28="S",IF(Import.TipoArredondamento&lt;&gt;"TransfereGOV",VTOTAL1,SUM(OFFSET(CÁLCULO!$AI$15,ROW($X28)-ROW($X$15),1):OFFSET(CÁLCULO!$BB$15,ROW($X28)-ROW($X$15),-1))),IF($C28=0,0,ROUND(SomaAgrup,15-13*$AF$11)))</f>
        <v>0</v>
      </c>
      <c r="Y28" s="156" t="s">
        <v>245</v>
      </c>
      <c r="Z28" t="str">
        <f t="shared" ca="1" si="13"/>
        <v/>
      </c>
      <c r="AA28" s="157">
        <f ca="1">IF($C28="S",IF($Z28="CP",$X28,IF($Z28="RA",(($X28)*QCI!$AA$3),0)),SomaAgrup)</f>
        <v>0</v>
      </c>
      <c r="AB28" s="158">
        <f t="shared" ca="1" si="14"/>
        <v>0</v>
      </c>
      <c r="AC28" s="159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105" t="str">
        <f ca="1">IF(C28&lt;=CRONO.NivelExibicao,MAX($AD$15:OFFSET(AD28,-1,0))+IF($C28&lt;&gt;1,1,MAX(1,COUNTIF(QCI!$A$13:$A$15,OFFSET($E28,-1,0)))),"")</f>
        <v/>
      </c>
      <c r="AE28" s="115" t="str">
        <f ca="1">IF(AND($C28="S",ORÇAMENTO.CodBarra&lt;&gt;""),IF(ORÇAMENTO.Fonte="",ORÇAMENTO.CodBarra,CONCATENATE(ORÇAMENTO.Fonte," ",ORÇAMENTO.CodBarra)))</f>
        <v>SINAPI 100564</v>
      </c>
      <c r="AF28" s="160" t="str">
        <f ca="1">IF(ISERROR(INDIRECT(ORÇAMENTO.BancoRef)),"(abra o arquivo 'Referência "&amp;Excel_BuiltIn_Database&amp;".xlsm)",IF(OR($C28&lt;&gt;"S",ORÇAMENTO.CodBarra=""),"(Sem Código)",IF(ISERROR(MATCH($AE28,INDIRECT(ORÇAMENTO.BancoRef),0)),"(Código não identificado nas referências)",MATCH($AE28,INDIRECT(ORÇAMENTO.BancoRef),0))))</f>
        <v>(abra o arquivo 'Referência 12-2023.xlsm)</v>
      </c>
      <c r="AG28" s="579">
        <f ca="1">ROUND(IF(DESONERACAO="sim",REFERENCIA.Desonerado,REFERENCIA.NaoDesonerado),2)</f>
        <v>0</v>
      </c>
      <c r="AH28" s="580">
        <f t="shared" ca="1" si="15"/>
        <v>0.26750000000000002</v>
      </c>
      <c r="AJ28" s="582"/>
      <c r="AL28" s="612"/>
      <c r="AM28" s="431">
        <f t="shared" ca="1" si="0"/>
        <v>0</v>
      </c>
      <c r="AN28" s="654">
        <f t="shared" ca="1" si="16"/>
        <v>0</v>
      </c>
    </row>
    <row r="29" spans="1:40" x14ac:dyDescent="0.2">
      <c r="A29" t="str">
        <f>CHOOSE(1+LOG(1+2*(ORÇAMENTO.Nivel="Meta")+4*(ORÇAMENTO.Nivel="Nível 2")+8*(ORÇAMENTO.Nivel="Nível 3")+16*(ORÇAMENTO.Nivel="Nível 4")+32*(ORÇAMENTO.Nivel="Serviço"),2),0,1,2,3,4,"S")</f>
        <v>S</v>
      </c>
      <c r="B29">
        <f ca="1">IF(OR(C29="s",C29=0),OFFSET(B29,-1,0),C29)</f>
        <v>2</v>
      </c>
      <c r="C29" t="str">
        <f ca="1">IF(OFFSET(C29,-1,0)="L",1,IF(OFFSET(C29,-1,0)=1,2,IF(OR(A29="s",A29=0),"S",IF(AND(OFFSET(C29,-1,0)=2,A29=4),3,IF(AND(OR(OFFSET(C29,-1,0)="s",OFFSET(C29,-1,0)=0),A29&lt;&gt;"s",A29&gt;OFFSET(B29,-1,0)),OFFSET(B29,-1,0),A29)))))</f>
        <v>S</v>
      </c>
      <c r="D29">
        <f ca="1">IF(OR(C29="S",C29=0),0,IF(ISERROR(K29),J29,SMALL(J29:K29,1)))</f>
        <v>0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2</v>
      </c>
      <c r="G29">
        <f ca="1">IF(AND($C29&lt;=2,$C29&lt;&gt;0),0,IF($C29=3,OFFSET(G29,-1,0)+1,OFFSET(G29,-1,0)))</f>
        <v>0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0</v>
      </c>
      <c r="K29">
        <f ca="1">IF(OR($C29="S",$C29=0),0,MATCH(OFFSET($D29,0,$C29)+IF($C29&lt;&gt;1,1,COUNTIF(QCI!$A$13:$A$15,ORÇAMENTO!E29)),OFFSET($D29,1,$C29,ROW($C$58)-ROW($C29)),0))</f>
        <v>0</v>
      </c>
      <c r="L29" s="144" t="str">
        <f ca="1">IF(OR($X29&gt;0,$C29=1,$C29=2,$C29=3,$C29=4),"F","")</f>
        <v/>
      </c>
      <c r="M29" s="145" t="s">
        <v>199</v>
      </c>
      <c r="N29" s="146" t="str">
        <f ca="1">CHOOSE(1+LOG(1+2*(C29=1)+4*(C29=2)+8*(C29=3)+16*(C29=4)+32*(C29="S"),2),"","Meta","Nível 2","Nível 3","Nível 4","Serviço")</f>
        <v>Serviço</v>
      </c>
      <c r="O29" s="147" t="str">
        <f ca="1">IF(OR($C29=0,$L29=""),"-",CONCATENATE(E29&amp;".",IF(AND($A$5&gt;=2,$C29&gt;=2),F29&amp;".",""),IF(AND($A$5&gt;=3,$C29&gt;=3),G29&amp;".",""),IF(AND($A$5&gt;=4,$C29&gt;=4),H29&amp;".",""),IF($C29="S",I29&amp;".","")))</f>
        <v>-</v>
      </c>
      <c r="P29" s="148" t="s">
        <v>247</v>
      </c>
      <c r="Q29" s="149"/>
      <c r="R29" s="150" t="s">
        <v>499</v>
      </c>
      <c r="S29" s="151" t="str">
        <f ca="1">REFERENCIA.Unidade</f>
        <v>-</v>
      </c>
      <c r="T29" s="152">
        <f ca="1">OFFSET(CÁLCULO!H$15,ROW($T29)-ROW(T$15),0)</f>
        <v>4733.87</v>
      </c>
      <c r="U29" s="153">
        <f t="shared" ca="1" si="17"/>
        <v>0</v>
      </c>
      <c r="V29" s="154" t="s">
        <v>156</v>
      </c>
      <c r="W29" s="152">
        <f ca="1">IF($C29="S",ROUND(IF(TIPOORCAMENTO="Proposto",ORÇAMENTO.CustoUnitario*(1+$AH29),ORÇAMENTO.PrecoUnitarioLicitado),15-13*$AF$10),0)</f>
        <v>0</v>
      </c>
      <c r="X29" s="155">
        <f ca="1">IF($C29="S",IF(Import.TipoArredondamento&lt;&gt;"TransfereGOV",VTOTAL1,SUM(OFFSET(CÁLCULO!$AI$15,ROW($X29)-ROW($X$15),1):OFFSET(CÁLCULO!$BB$15,ROW($X29)-ROW($X$15),-1))),IF($C29=0,0,ROUND(SomaAgrup,15-13*$AF$11)))</f>
        <v>0</v>
      </c>
      <c r="Y29" s="156" t="s">
        <v>245</v>
      </c>
      <c r="Z29" t="str">
        <f ca="1">IF(AND($C29="S",$X29&gt;0),IF(ISBLANK($Y29),"RA",LEFT($Y29,2)),"")</f>
        <v/>
      </c>
      <c r="AA29" s="157">
        <f ca="1">IF($C29="S",IF($Z29="CP",$X29,IF($Z29="RA",(($X29)*QCI!$AA$3),0)),SomaAgrup)</f>
        <v>0</v>
      </c>
      <c r="AB29" s="158">
        <f ca="1">IF($C29="S",IF($Z29="OU",ROUND($X29,2),0),SomaAgrup)</f>
        <v>0</v>
      </c>
      <c r="AC29" s="159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s="664" t="str">
        <f ca="1">IF(C29&lt;=CRONO.NivelExibicao,MAX($AD$15:OFFSET(AD29,-1,0))+IF($C29&lt;&gt;1,1,MAX(1,COUNTIF(QCI!$A$13:$A$15,OFFSET($E29,-1,0)))),"")</f>
        <v/>
      </c>
      <c r="AE29" s="115" t="b">
        <f ca="1">IF(AND($C29="S",ORÇAMENTO.CodBarra&lt;&gt;""),IF(ORÇAMENTO.Fonte="",ORÇAMENTO.CodBarra,CONCATENATE(ORÇAMENTO.Fonte," ",ORÇAMENTO.CodBarra)))</f>
        <v>0</v>
      </c>
      <c r="AF29" s="160" t="str">
        <f ca="1">IF(ISERROR(INDIRECT(ORÇAMENTO.BancoRef)),"(abra o arquivo 'Referência "&amp;Excel_BuiltIn_Database&amp;".xlsm)",IF(OR($C29&lt;&gt;"S",ORÇAMENTO.CodBarra=""),"(Sem Código)",IF(ISERROR(MATCH($AE29,INDIRECT(ORÇAMENTO.BancoRef),0)),"(Código não identificado nas referências)",MATCH($AE29,INDIRECT(ORÇAMENTO.BancoRef),0))))</f>
        <v>(abra o arquivo 'Referência 12-2023.xlsm)</v>
      </c>
      <c r="AG29" s="579">
        <f ca="1">ROUND(IF(DESONERACAO="sim",REFERENCIA.Desonerado,REFERENCIA.NaoDesonerado),2)</f>
        <v>0</v>
      </c>
      <c r="AH29" s="580">
        <f ca="1">ROUND(IF(ISNUMBER(ORÇAMENTO.OpcaoBDI),ORÇAMENTO.OpcaoBDI,IF(LEFT(ORÇAMENTO.OpcaoBDI,3)="BDI",HLOOKUP(ORÇAMENTO.OpcaoBDI,$F$4:$H$5,2,FALSE),0)),15-11*$AF$9)</f>
        <v>0.26750000000000002</v>
      </c>
      <c r="AJ29" s="582"/>
      <c r="AL29" s="612"/>
      <c r="AM29" s="431">
        <f t="shared" ca="1" si="0"/>
        <v>0</v>
      </c>
      <c r="AN29" s="654">
        <f ca="1">ROUND(ORÇAMENTO.CustoUnitario*(1+$AH29),2)</f>
        <v>0</v>
      </c>
    </row>
    <row r="30" spans="1:40" x14ac:dyDescent="0.2">
      <c r="A30">
        <f t="shared" si="1"/>
        <v>2</v>
      </c>
      <c r="B30">
        <f t="shared" ca="1" si="2"/>
        <v>2</v>
      </c>
      <c r="C30">
        <f t="shared" ca="1" si="3"/>
        <v>2</v>
      </c>
      <c r="D30">
        <f t="shared" ca="1" si="4"/>
        <v>3</v>
      </c>
      <c r="E30">
        <f ca="1">IF($C30=1,OFFSET(E30,-1,0)+MAX(1,COUNTIF(QCI!$A$13:$A$15,OFFSET(ORÇAMENTO!E30,-1,0))),OFFSET(E30,-1,0))</f>
        <v>1</v>
      </c>
      <c r="F30">
        <f t="shared" ca="1" si="5"/>
        <v>3</v>
      </c>
      <c r="G30">
        <f t="shared" ca="1" si="6"/>
        <v>0</v>
      </c>
      <c r="H30">
        <f t="shared" ca="1" si="7"/>
        <v>0</v>
      </c>
      <c r="I30">
        <f t="shared" ca="1" si="8"/>
        <v>0</v>
      </c>
      <c r="J30">
        <f t="shared" ca="1" si="9"/>
        <v>28</v>
      </c>
      <c r="K30">
        <f ca="1">IF(OR($C30="S",$C30=0),0,MATCH(OFFSET($D30,0,$C30)+IF($C30&lt;&gt;1,1,COUNTIF(QCI!$A$13:$A$15,ORÇAMENTO!E30)),OFFSET($D30,1,$C30,ROW($C$58)-ROW($C30)),0))</f>
        <v>3</v>
      </c>
      <c r="L30" s="144" t="str">
        <f t="shared" ca="1" si="10"/>
        <v>F</v>
      </c>
      <c r="M30" s="145" t="s">
        <v>196</v>
      </c>
      <c r="N30" s="146" t="str">
        <f t="shared" ca="1" si="11"/>
        <v>Nível 2</v>
      </c>
      <c r="O30" s="147" t="str">
        <f t="shared" ca="1" si="12"/>
        <v>1.3.</v>
      </c>
      <c r="P30" s="148" t="s">
        <v>247</v>
      </c>
      <c r="Q30" s="149"/>
      <c r="R30" s="150" t="s">
        <v>468</v>
      </c>
      <c r="S30" s="151" t="str">
        <f ca="1">REFERENCIA.Unidade</f>
        <v>-</v>
      </c>
      <c r="T30" s="152">
        <f ca="1">OFFSET(CÁLCULO!H$15,ROW($T30)-ROW(T$15),0)</f>
        <v>0</v>
      </c>
      <c r="U30" s="153">
        <f t="shared" ca="1" si="17"/>
        <v>0</v>
      </c>
      <c r="V30" s="154" t="s">
        <v>156</v>
      </c>
      <c r="W30" s="152">
        <f ca="1">IF($C30="S",ROUND(IF(TIPOORCAMENTO="Proposto",ORÇAMENTO.CustoUnitario*(1+$AH30),ORÇAMENTO.PrecoUnitarioLicitado),15-13*$AF$10),0)</f>
        <v>0</v>
      </c>
      <c r="X30" s="155">
        <f ca="1">IF($C30="S",IF(Import.TipoArredondamento&lt;&gt;"TransfereGOV",VTOTAL1,SUM(OFFSET(CÁLCULO!$AI$15,ROW($X30)-ROW($X$15),1):OFFSET(CÁLCULO!$BB$15,ROW($X30)-ROW($X$15),-1))),IF($C30=0,0,ROUND(SomaAgrup,15-13*$AF$11)))</f>
        <v>0</v>
      </c>
      <c r="Y30" s="156" t="s">
        <v>245</v>
      </c>
      <c r="Z30" t="str">
        <f t="shared" ca="1" si="13"/>
        <v/>
      </c>
      <c r="AA30" s="157">
        <f ca="1">IF($C30="S",IF($Z30="CP",$X30,IF($Z30="RA",(($X30)*QCI!$AA$3),0)),SomaAgrup)</f>
        <v>0</v>
      </c>
      <c r="AB30" s="158">
        <f t="shared" ca="1" si="14"/>
        <v>0</v>
      </c>
      <c r="AC30" s="159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s="105">
        <f ca="1">IF(C30&lt;=CRONO.NivelExibicao,MAX($AD$15:OFFSET(AD30,-1,0))+IF($C30&lt;&gt;1,1,MAX(1,COUNTIF(QCI!$A$13:$A$15,OFFSET($E30,-1,0)))),"")</f>
        <v>4</v>
      </c>
      <c r="AE30" s="115" t="b">
        <f ca="1">IF(AND($C30="S",ORÇAMENTO.CodBarra&lt;&gt;""),IF(ORÇAMENTO.Fonte="",ORÇAMENTO.CodBarra,CONCATENATE(ORÇAMENTO.Fonte," ",ORÇAMENTO.CodBarra)))</f>
        <v>0</v>
      </c>
      <c r="AF30" s="160" t="str">
        <f ca="1">IF(ISERROR(INDIRECT(ORÇAMENTO.BancoRef)),"(abra o arquivo 'Referência "&amp;Excel_BuiltIn_Database&amp;".xlsm)",IF(OR($C30&lt;&gt;"S",ORÇAMENTO.CodBarra=""),"(Sem Código)",IF(ISERROR(MATCH($AE30,INDIRECT(ORÇAMENTO.BancoRef),0)),"(Código não identificado nas referências)",MATCH($AE30,INDIRECT(ORÇAMENTO.BancoRef),0))))</f>
        <v>(abra o arquivo 'Referência 12-2023.xlsm)</v>
      </c>
      <c r="AG30" s="579">
        <f ca="1">ROUND(IF(DESONERACAO="sim",REFERENCIA.Desonerado,REFERENCIA.NaoDesonerado),2)</f>
        <v>0</v>
      </c>
      <c r="AH30" s="580">
        <f t="shared" ca="1" si="15"/>
        <v>0.26750000000000002</v>
      </c>
      <c r="AJ30" s="582"/>
      <c r="AL30" s="612"/>
      <c r="AM30" s="431">
        <f t="shared" ca="1" si="0"/>
        <v>0</v>
      </c>
      <c r="AN30" s="654">
        <f t="shared" ca="1" si="16"/>
        <v>0</v>
      </c>
    </row>
    <row r="31" spans="1:40" x14ac:dyDescent="0.2">
      <c r="A31" t="str">
        <f t="shared" si="1"/>
        <v>S</v>
      </c>
      <c r="B31">
        <f t="shared" ca="1" si="2"/>
        <v>2</v>
      </c>
      <c r="C31" t="str">
        <f t="shared" ca="1" si="3"/>
        <v>S</v>
      </c>
      <c r="D31">
        <f t="shared" ca="1" si="4"/>
        <v>0</v>
      </c>
      <c r="E31">
        <f ca="1">IF($C31=1,OFFSET(E31,-1,0)+MAX(1,COUNTIF(QCI!$A$13:$A$15,OFFSET(ORÇAMENTO!E31,-1,0))),OFFSET(E31,-1,0))</f>
        <v>1</v>
      </c>
      <c r="F31">
        <f t="shared" ca="1" si="5"/>
        <v>3</v>
      </c>
      <c r="G31">
        <f t="shared" ca="1" si="6"/>
        <v>0</v>
      </c>
      <c r="H31">
        <f t="shared" ca="1" si="7"/>
        <v>0</v>
      </c>
      <c r="I31">
        <f t="shared" ca="1" si="8"/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IF(OR($C31="S",$C31=0),0,MATCH(OFFSET($D31,0,$C31)+IF($C31&lt;&gt;1,1,COUNTIF(QCI!$A$13:$A$15,ORÇAMENTO!E31)),OFFSET($D31,1,$C31,ROW($C$58)-ROW($C31)),0))</f>
        <v>0</v>
      </c>
      <c r="L31" s="144" t="str">
        <f t="shared" ca="1" si="10"/>
        <v/>
      </c>
      <c r="M31" s="145" t="s">
        <v>199</v>
      </c>
      <c r="N31" s="146" t="str">
        <f t="shared" ca="1" si="11"/>
        <v>Serviço</v>
      </c>
      <c r="O31" s="147" t="str">
        <f t="shared" ca="1" si="12"/>
        <v>-</v>
      </c>
      <c r="P31" s="148" t="s">
        <v>459</v>
      </c>
      <c r="Q31" s="149" t="s">
        <v>473</v>
      </c>
      <c r="R31" s="150" t="str">
        <f ca="1">IF($C31="S",REFERENCIA.Descricao,"(digite a descrição aqui)")</f>
        <v>(abra o arquivo 'Referência 12-2023.xlsm)</v>
      </c>
      <c r="S31" s="151" t="str">
        <f ca="1">REFERENCIA.Unidade</f>
        <v>-</v>
      </c>
      <c r="T31" s="152">
        <f ca="1">OFFSET(CÁLCULO!H$15,ROW($T31)-ROW(T$15),0)</f>
        <v>27566.989999999994</v>
      </c>
      <c r="U31" s="153">
        <f t="shared" ca="1" si="17"/>
        <v>0</v>
      </c>
      <c r="V31" s="154" t="s">
        <v>156</v>
      </c>
      <c r="W31" s="152">
        <f ca="1">IF($C31="S",ROUND(IF(TIPOORCAMENTO="Proposto",ORÇAMENTO.CustoUnitario*(1+$AH31),ORÇAMENTO.PrecoUnitarioLicitado),15-13*$AF$10),0)</f>
        <v>0</v>
      </c>
      <c r="X31" s="155">
        <f ca="1">IF($C31="S",IF(Import.TipoArredondamento&lt;&gt;"TransfereGOV",VTOTAL1,SUM(OFFSET(CÁLCULO!$AI$15,ROW($X31)-ROW($X$15),1):OFFSET(CÁLCULO!$BB$15,ROW($X31)-ROW($X$15),-1))),IF($C31=0,0,ROUND(SomaAgrup,15-13*$AF$11)))</f>
        <v>0</v>
      </c>
      <c r="Y31" s="156" t="s">
        <v>245</v>
      </c>
      <c r="Z31" t="str">
        <f t="shared" ca="1" si="13"/>
        <v/>
      </c>
      <c r="AA31" s="157">
        <f ca="1">IF($C31="S",IF($Z31="CP",$X31,IF($Z31="RA",(($X31)*QCI!$AA$3),0)),SomaAgrup)</f>
        <v>0</v>
      </c>
      <c r="AB31" s="158">
        <f t="shared" ca="1" si="14"/>
        <v>0</v>
      </c>
      <c r="AC31" s="159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105" t="str">
        <f ca="1">IF(C31&lt;=CRONO.NivelExibicao,MAX($AD$15:OFFSET(AD31,-1,0))+IF($C31&lt;&gt;1,1,MAX(1,COUNTIF(QCI!$A$13:$A$15,OFFSET($E31,-1,0)))),"")</f>
        <v/>
      </c>
      <c r="AE31" s="115" t="str">
        <f ca="1">IF(AND($C31="S",ORÇAMENTO.CodBarra&lt;&gt;""),IF(ORÇAMENTO.Fonte="",ORÇAMENTO.CodBarra,CONCATENATE(ORÇAMENTO.Fonte," ",ORÇAMENTO.CodBarra)))</f>
        <v>SEINFRA RO-51228</v>
      </c>
      <c r="AF31" s="160" t="str">
        <f ca="1">IF(ISERROR(INDIRECT(ORÇAMENTO.BancoRef)),"(abra o arquivo 'Referência "&amp;Excel_BuiltIn_Database&amp;".xlsm)",IF(OR($C31&lt;&gt;"S",ORÇAMENTO.CodBarra=""),"(Sem Código)",IF(ISERROR(MATCH($AE31,INDIRECT(ORÇAMENTO.BancoRef),0)),"(Código não identificado nas referências)",MATCH($AE31,INDIRECT(ORÇAMENTO.BancoRef),0))))</f>
        <v>(abra o arquivo 'Referência 12-2023.xlsm)</v>
      </c>
      <c r="AG31" s="579">
        <f ca="1">ROUND(IF(DESONERACAO="sim",REFERENCIA.Desonerado,REFERENCIA.NaoDesonerado),2)</f>
        <v>0</v>
      </c>
      <c r="AH31" s="580">
        <f t="shared" ca="1" si="15"/>
        <v>0.26750000000000002</v>
      </c>
      <c r="AJ31" s="582"/>
      <c r="AL31" s="612"/>
      <c r="AM31" s="431">
        <f t="shared" ca="1" si="0"/>
        <v>0</v>
      </c>
      <c r="AN31" s="654">
        <f t="shared" ca="1" si="16"/>
        <v>0</v>
      </c>
    </row>
    <row r="32" spans="1:40" x14ac:dyDescent="0.2">
      <c r="A32" t="str">
        <f t="shared" si="1"/>
        <v>S</v>
      </c>
      <c r="B32">
        <f t="shared" ca="1" si="2"/>
        <v>2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3</v>
      </c>
      <c r="G32">
        <f t="shared" ca="1" si="6"/>
        <v>0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IF(OR($C32="S",$C32=0),0,MATCH(OFFSET($D32,0,$C32)+IF($C32&lt;&gt;1,1,COUNTIF(QCI!$A$13:$A$15,ORÇAMENTO!E32)),OFFSET($D32,1,$C32,ROW($C$58)-ROW($C32)),0))</f>
        <v>0</v>
      </c>
      <c r="L32" s="144" t="str">
        <f t="shared" ca="1" si="10"/>
        <v/>
      </c>
      <c r="M32" s="145" t="s">
        <v>199</v>
      </c>
      <c r="N32" s="146" t="str">
        <f t="shared" ca="1" si="11"/>
        <v>Serviço</v>
      </c>
      <c r="O32" s="147" t="str">
        <f t="shared" ca="1" si="12"/>
        <v>-</v>
      </c>
      <c r="P32" s="148" t="s">
        <v>247</v>
      </c>
      <c r="Q32" s="149" t="s">
        <v>474</v>
      </c>
      <c r="R32" s="150" t="str">
        <f ca="1">IF($C32="S",REFERENCIA.Descricao,"(digite a descrição aqui)")</f>
        <v>(abra o arquivo 'Referência 12-2023.xlsm)</v>
      </c>
      <c r="S32" s="151" t="str">
        <f ca="1">REFERENCIA.Unidade</f>
        <v>-</v>
      </c>
      <c r="T32" s="152">
        <f ca="1">OFFSET(CÁLCULO!H$15,ROW($T32)-ROW(T$15),0)</f>
        <v>18955.05</v>
      </c>
      <c r="U32" s="153">
        <f t="shared" ca="1" si="17"/>
        <v>0</v>
      </c>
      <c r="V32" s="154" t="s">
        <v>156</v>
      </c>
      <c r="W32" s="152">
        <f ca="1">IF($C32="S",ROUND(IF(TIPOORCAMENTO="Proposto",ORÇAMENTO.CustoUnitario*(1+$AH32),ORÇAMENTO.PrecoUnitarioLicitado),15-13*$AF$10),0)</f>
        <v>0</v>
      </c>
      <c r="X32" s="155">
        <f ca="1">IF($C32="S",IF(Import.TipoArredondamento&lt;&gt;"TransfereGOV",VTOTAL1,SUM(OFFSET(CÁLCULO!$AI$15,ROW($X32)-ROW($X$15),1):OFFSET(CÁLCULO!$BB$15,ROW($X32)-ROW($X$15),-1))),IF($C32=0,0,ROUND(SomaAgrup,15-13*$AF$11)))</f>
        <v>0</v>
      </c>
      <c r="Y32" s="156" t="s">
        <v>245</v>
      </c>
      <c r="Z32" t="str">
        <f t="shared" ca="1" si="13"/>
        <v/>
      </c>
      <c r="AA32" s="157">
        <f ca="1">IF($C32="S",IF($Z32="CP",$X32,IF($Z32="RA",(($X32)*QCI!$AA$3),0)),SomaAgrup)</f>
        <v>0</v>
      </c>
      <c r="AB32" s="158">
        <f t="shared" ca="1" si="14"/>
        <v>0</v>
      </c>
      <c r="AC32" s="159" t="str">
        <f ca="1">IF($N32="","",IF(ORÇAMENTO.Descricao="","DESCRIÇÃO",IF(AND($C32="S",ORÇAMENTO.Unidade=""),"UNIDADE",IF($X32&lt;0,"VALOR NEGATIVO",IF(OR(AND(TIPOORCAMENTO="Proposto",$AG32&lt;&gt;"",$AG32&gt;0,ORÇAMENTO.CustoUnitario&gt;$AG32),AND(TIPOORCAMENTO="LICITADO",ORÇAMENTO.PrecoUnitarioLicitado&gt;$AN32)),"ACIMA REF.","")))))</f>
        <v/>
      </c>
      <c r="AD32" s="105" t="str">
        <f ca="1">IF(C32&lt;=CRONO.NivelExibicao,MAX($AD$15:OFFSET(AD32,-1,0))+IF($C32&lt;&gt;1,1,MAX(1,COUNTIF(QCI!$A$13:$A$15,OFFSET($E32,-1,0)))),"")</f>
        <v/>
      </c>
      <c r="AE32" s="115" t="str">
        <f ca="1">IF(AND($C32="S",ORÇAMENTO.CodBarra&lt;&gt;""),IF(ORÇAMENTO.Fonte="",ORÇAMENTO.CodBarra,CONCATENATE(ORÇAMENTO.Fonte," ",ORÇAMENTO.CodBarra)))</f>
        <v>SINAPI 100970</v>
      </c>
      <c r="AF32" s="160" t="str">
        <f ca="1">IF(ISERROR(INDIRECT(ORÇAMENTO.BancoRef)),"(abra o arquivo 'Referência "&amp;Excel_BuiltIn_Database&amp;".xlsm)",IF(OR($C32&lt;&gt;"S",ORÇAMENTO.CodBarra=""),"(Sem Código)",IF(ISERROR(MATCH($AE32,INDIRECT(ORÇAMENTO.BancoRef),0)),"(Código não identificado nas referências)",MATCH($AE32,INDIRECT(ORÇAMENTO.BancoRef),0))))</f>
        <v>(abra o arquivo 'Referência 12-2023.xlsm)</v>
      </c>
      <c r="AG32" s="579">
        <f ca="1">ROUND(IF(DESONERACAO="sim",REFERENCIA.Desonerado,REFERENCIA.NaoDesonerado),2)</f>
        <v>0</v>
      </c>
      <c r="AH32" s="580">
        <f t="shared" ca="1" si="15"/>
        <v>0.26750000000000002</v>
      </c>
      <c r="AJ32" s="582"/>
      <c r="AL32" s="612"/>
      <c r="AM32" s="431">
        <f t="shared" ca="1" si="0"/>
        <v>0</v>
      </c>
      <c r="AN32" s="654">
        <f t="shared" ca="1" si="16"/>
        <v>0</v>
      </c>
    </row>
    <row r="33" spans="1:40" x14ac:dyDescent="0.2">
      <c r="A33">
        <f t="shared" si="1"/>
        <v>2</v>
      </c>
      <c r="B33">
        <f t="shared" ca="1" si="2"/>
        <v>2</v>
      </c>
      <c r="C33">
        <f t="shared" ca="1" si="3"/>
        <v>2</v>
      </c>
      <c r="D33">
        <f t="shared" ca="1" si="4"/>
        <v>3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0</v>
      </c>
      <c r="H33">
        <f t="shared" ca="1" si="7"/>
        <v>0</v>
      </c>
      <c r="I33">
        <f t="shared" ca="1" si="8"/>
        <v>0</v>
      </c>
      <c r="J33">
        <f t="shared" ca="1" si="9"/>
        <v>25</v>
      </c>
      <c r="K33">
        <f ca="1">IF(OR($C33="S",$C33=0),0,MATCH(OFFSET($D33,0,$C33)+IF($C33&lt;&gt;1,1,COUNTIF(QCI!$A$13:$A$15,ORÇAMENTO!E33)),OFFSET($D33,1,$C33,ROW($C$58)-ROW($C33)),0))</f>
        <v>3</v>
      </c>
      <c r="L33" s="144" t="str">
        <f t="shared" ca="1" si="10"/>
        <v>F</v>
      </c>
      <c r="M33" s="145" t="s">
        <v>196</v>
      </c>
      <c r="N33" s="146" t="str">
        <f t="shared" ca="1" si="11"/>
        <v>Nível 2</v>
      </c>
      <c r="O33" s="147" t="str">
        <f t="shared" ca="1" si="12"/>
        <v>1.4.</v>
      </c>
      <c r="P33" s="148" t="s">
        <v>247</v>
      </c>
      <c r="Q33" s="149"/>
      <c r="R33" s="150" t="s">
        <v>469</v>
      </c>
      <c r="S33" s="151" t="str">
        <f ca="1">REFERENCIA.Unidade</f>
        <v>-</v>
      </c>
      <c r="T33" s="152">
        <f ca="1">OFFSET(CÁLCULO!H$15,ROW($T33)-ROW(T$15),0)</f>
        <v>0</v>
      </c>
      <c r="U33" s="153">
        <f t="shared" ca="1" si="17"/>
        <v>0</v>
      </c>
      <c r="V33" s="154" t="s">
        <v>156</v>
      </c>
      <c r="W33" s="152">
        <f ca="1">IF($C33="S",ROUND(IF(TIPOORCAMENTO="Proposto",ORÇAMENTO.CustoUnitario*(1+$AH33),ORÇAMENTO.PrecoUnitarioLicitado),15-13*$AF$10),0)</f>
        <v>0</v>
      </c>
      <c r="X33" s="155">
        <f ca="1">IF($C33="S",IF(Import.TipoArredondamento&lt;&gt;"TransfereGOV",VTOTAL1,SUM(OFFSET(CÁLCULO!$AI$15,ROW($X33)-ROW($X$15),1):OFFSET(CÁLCULO!$BB$15,ROW($X33)-ROW($X$15),-1))),IF($C33=0,0,ROUND(SomaAgrup,15-13*$AF$11)))</f>
        <v>0</v>
      </c>
      <c r="Y33" s="156" t="s">
        <v>245</v>
      </c>
      <c r="Z33" t="str">
        <f t="shared" ca="1" si="13"/>
        <v/>
      </c>
      <c r="AA33" s="157">
        <f ca="1">IF($C33="S",IF($Z33="CP",$X33,IF($Z33="RA",(($X33)*QCI!$AA$3),0)),SomaAgrup)</f>
        <v>0</v>
      </c>
      <c r="AB33" s="158">
        <f t="shared" ca="1" si="14"/>
        <v>0</v>
      </c>
      <c r="AC33" s="159" t="str">
        <f ca="1">IF($N33="","",IF(ORÇAMENTO.Descricao="","DESCRIÇÃO",IF(AND($C33="S",ORÇAMENTO.Unidade=""),"UNIDADE",IF($X33&lt;0,"VALOR NEGATIVO",IF(OR(AND(TIPOORCAMENTO="Proposto",$AG33&lt;&gt;"",$AG33&gt;0,ORÇAMENTO.CustoUnitario&gt;$AG33),AND(TIPOORCAMENTO="LICITADO",ORÇAMENTO.PrecoUnitarioLicitado&gt;$AN33)),"ACIMA REF.","")))))</f>
        <v/>
      </c>
      <c r="AD33" s="105">
        <f ca="1">IF(C33&lt;=CRONO.NivelExibicao,MAX($AD$15:OFFSET(AD33,-1,0))+IF($C33&lt;&gt;1,1,MAX(1,COUNTIF(QCI!$A$13:$A$15,OFFSET($E33,-1,0)))),"")</f>
        <v>5</v>
      </c>
      <c r="AE33" s="115" t="b">
        <f ca="1">IF(AND($C33="S",ORÇAMENTO.CodBarra&lt;&gt;""),IF(ORÇAMENTO.Fonte="",ORÇAMENTO.CodBarra,CONCATENATE(ORÇAMENTO.Fonte," ",ORÇAMENTO.CodBarra)))</f>
        <v>0</v>
      </c>
      <c r="AF33" s="160" t="str">
        <f ca="1">IF(ISERROR(INDIRECT(ORÇAMENTO.BancoRef)),"(abra o arquivo 'Referência "&amp;Excel_BuiltIn_Database&amp;".xlsm)",IF(OR($C33&lt;&gt;"S",ORÇAMENTO.CodBarra=""),"(Sem Código)",IF(ISERROR(MATCH($AE33,INDIRECT(ORÇAMENTO.BancoRef),0)),"(Código não identificado nas referências)",MATCH($AE33,INDIRECT(ORÇAMENTO.BancoRef),0))))</f>
        <v>(abra o arquivo 'Referência 12-2023.xlsm)</v>
      </c>
      <c r="AG33" s="579">
        <f ca="1">ROUND(IF(DESONERACAO="sim",REFERENCIA.Desonerado,REFERENCIA.NaoDesonerado),2)</f>
        <v>0</v>
      </c>
      <c r="AH33" s="580">
        <f t="shared" ca="1" si="15"/>
        <v>0.26750000000000002</v>
      </c>
      <c r="AJ33" s="582"/>
      <c r="AL33" s="612"/>
      <c r="AM33" s="431">
        <f t="shared" ca="1" si="0"/>
        <v>0</v>
      </c>
      <c r="AN33" s="654">
        <f t="shared" ca="1" si="16"/>
        <v>0</v>
      </c>
    </row>
    <row r="34" spans="1:40" x14ac:dyDescent="0.2">
      <c r="A34" t="str">
        <f t="shared" si="1"/>
        <v>S</v>
      </c>
      <c r="B34">
        <f t="shared" ca="1" si="2"/>
        <v>2</v>
      </c>
      <c r="C34" t="str">
        <f t="shared" ca="1" si="3"/>
        <v>S</v>
      </c>
      <c r="D34">
        <f t="shared" ca="1" si="4"/>
        <v>0</v>
      </c>
      <c r="E34">
        <f ca="1">IF($C34=1,OFFSET(E34,-1,0)+MAX(1,COUNTIF(QCI!$A$13:$A$15,OFFSET(ORÇAMENTO!E34,-1,0))),OFFSET(E34,-1,0))</f>
        <v>1</v>
      </c>
      <c r="F34">
        <f t="shared" ca="1" si="5"/>
        <v>4</v>
      </c>
      <c r="G34">
        <f t="shared" ca="1" si="6"/>
        <v>0</v>
      </c>
      <c r="H34">
        <f t="shared" ca="1" si="7"/>
        <v>0</v>
      </c>
      <c r="I34">
        <f t="shared" ca="1" si="8"/>
        <v>0</v>
      </c>
      <c r="J34">
        <f t="shared" ca="1" si="9"/>
        <v>0</v>
      </c>
      <c r="K34">
        <f ca="1">IF(OR($C34="S",$C34=0),0,MATCH(OFFSET($D34,0,$C34)+IF($C34&lt;&gt;1,1,COUNTIF(QCI!$A$13:$A$15,ORÇAMENTO!E34)),OFFSET($D34,1,$C34,ROW($C$58)-ROW($C34)),0))</f>
        <v>0</v>
      </c>
      <c r="L34" s="144" t="str">
        <f t="shared" ca="1" si="10"/>
        <v/>
      </c>
      <c r="M34" s="145" t="s">
        <v>199</v>
      </c>
      <c r="N34" s="146" t="str">
        <f t="shared" ca="1" si="11"/>
        <v>Serviço</v>
      </c>
      <c r="O34" s="147" t="str">
        <f t="shared" ca="1" si="12"/>
        <v>-</v>
      </c>
      <c r="P34" s="148" t="s">
        <v>459</v>
      </c>
      <c r="Q34" s="149" t="s">
        <v>475</v>
      </c>
      <c r="R34" s="150" t="str">
        <f ca="1">IF($C34="S",REFERENCIA.Descricao,"(digite a descrição aqui)")</f>
        <v>(abra o arquivo 'Referência 12-2023.xlsm)</v>
      </c>
      <c r="S34" s="151" t="str">
        <f ca="1">REFERENCIA.Unidade</f>
        <v>-</v>
      </c>
      <c r="T34" s="152">
        <f ca="1">OFFSET(CÁLCULO!H$15,ROW($T34)-ROW(T$15),0)</f>
        <v>27566.989999999994</v>
      </c>
      <c r="U34" s="153">
        <f t="shared" ca="1" si="17"/>
        <v>0</v>
      </c>
      <c r="V34" s="154" t="s">
        <v>156</v>
      </c>
      <c r="W34" s="152">
        <f ca="1">IF($C34="S",ROUND(IF(TIPOORCAMENTO="Proposto",ORÇAMENTO.CustoUnitario*(1+$AH34),ORÇAMENTO.PrecoUnitarioLicitado),15-13*$AF$10),0)</f>
        <v>0</v>
      </c>
      <c r="X34" s="155">
        <f ca="1">IF($C34="S",IF(Import.TipoArredondamento&lt;&gt;"TransfereGOV",VTOTAL1,SUM(OFFSET(CÁLCULO!$AI$15,ROW($X34)-ROW($X$15),1):OFFSET(CÁLCULO!$BB$15,ROW($X34)-ROW($X$15),-1))),IF($C34=0,0,ROUND(SomaAgrup,15-13*$AF$11)))</f>
        <v>0</v>
      </c>
      <c r="Y34" s="156" t="s">
        <v>245</v>
      </c>
      <c r="Z34" t="str">
        <f t="shared" ca="1" si="13"/>
        <v/>
      </c>
      <c r="AA34" s="157">
        <f ca="1">IF($C34="S",IF($Z34="CP",$X34,IF($Z34="RA",(($X34)*QCI!$AA$3),0)),SomaAgrup)</f>
        <v>0</v>
      </c>
      <c r="AB34" s="158">
        <f t="shared" ca="1" si="14"/>
        <v>0</v>
      </c>
      <c r="AC34" s="159" t="str">
        <f ca="1">IF($N34="","",IF(ORÇAMENTO.Descricao="","DESCRIÇÃO",IF(AND($C34="S",ORÇAMENTO.Unidade=""),"UNIDADE",IF($X34&lt;0,"VALOR NEGATIVO",IF(OR(AND(TIPOORCAMENTO="Proposto",$AG34&lt;&gt;"",$AG34&gt;0,ORÇAMENTO.CustoUnitario&gt;$AG34),AND(TIPOORCAMENTO="LICITADO",ORÇAMENTO.PrecoUnitarioLicitado&gt;$AN34)),"ACIMA REF.","")))))</f>
        <v/>
      </c>
      <c r="AD34" s="105" t="str">
        <f ca="1">IF(C34&lt;=CRONO.NivelExibicao,MAX($AD$15:OFFSET(AD34,-1,0))+IF($C34&lt;&gt;1,1,MAX(1,COUNTIF(QCI!$A$13:$A$15,OFFSET($E34,-1,0)))),"")</f>
        <v/>
      </c>
      <c r="AE34" s="115" t="str">
        <f ca="1">IF(AND($C34="S",ORÇAMENTO.CodBarra&lt;&gt;""),IF(ORÇAMENTO.Fonte="",ORÇAMENTO.CodBarra,CONCATENATE(ORÇAMENTO.Fonte," ",ORÇAMENTO.CodBarra)))</f>
        <v>SEINFRA RO-51229</v>
      </c>
      <c r="AF34" s="160" t="str">
        <f ca="1">IF(ISERROR(INDIRECT(ORÇAMENTO.BancoRef)),"(abra o arquivo 'Referência "&amp;Excel_BuiltIn_Database&amp;".xlsm)",IF(OR($C34&lt;&gt;"S",ORÇAMENTO.CodBarra=""),"(Sem Código)",IF(ISERROR(MATCH($AE34,INDIRECT(ORÇAMENTO.BancoRef),0)),"(Código não identificado nas referências)",MATCH($AE34,INDIRECT(ORÇAMENTO.BancoRef),0))))</f>
        <v>(abra o arquivo 'Referência 12-2023.xlsm)</v>
      </c>
      <c r="AG34" s="579">
        <f ca="1">ROUND(IF(DESONERACAO="sim",REFERENCIA.Desonerado,REFERENCIA.NaoDesonerado),2)</f>
        <v>0</v>
      </c>
      <c r="AH34" s="580">
        <f t="shared" ca="1" si="15"/>
        <v>0.26750000000000002</v>
      </c>
      <c r="AJ34" s="582"/>
      <c r="AL34" s="612"/>
      <c r="AM34" s="431">
        <f t="shared" ca="1" si="0"/>
        <v>0</v>
      </c>
      <c r="AN34" s="654">
        <f t="shared" ca="1" si="16"/>
        <v>0</v>
      </c>
    </row>
    <row r="35" spans="1:40" x14ac:dyDescent="0.2">
      <c r="A35" t="str">
        <f t="shared" si="1"/>
        <v>S</v>
      </c>
      <c r="B35">
        <f t="shared" ca="1" si="2"/>
        <v>2</v>
      </c>
      <c r="C35" t="str">
        <f t="shared" ca="1" si="3"/>
        <v>S</v>
      </c>
      <c r="D35">
        <f t="shared" ca="1" si="4"/>
        <v>0</v>
      </c>
      <c r="E35">
        <f ca="1">IF($C35=1,OFFSET(E35,-1,0)+MAX(1,COUNTIF(QCI!$A$13:$A$15,OFFSET(ORÇAMENTO!E35,-1,0))),OFFSET(E35,-1,0))</f>
        <v>1</v>
      </c>
      <c r="F35">
        <f t="shared" ca="1" si="5"/>
        <v>4</v>
      </c>
      <c r="G35">
        <f t="shared" ca="1" si="6"/>
        <v>0</v>
      </c>
      <c r="H35">
        <f t="shared" ca="1" si="7"/>
        <v>0</v>
      </c>
      <c r="I35">
        <f t="shared" ca="1" si="8"/>
        <v>0</v>
      </c>
      <c r="J35">
        <f t="shared" ca="1" si="9"/>
        <v>0</v>
      </c>
      <c r="K35">
        <f ca="1">IF(OR($C35="S",$C35=0),0,MATCH(OFFSET($D35,0,$C35)+IF($C35&lt;&gt;1,1,COUNTIF(QCI!$A$13:$A$15,ORÇAMENTO!E35)),OFFSET($D35,1,$C35,ROW($C$58)-ROW($C35)),0))</f>
        <v>0</v>
      </c>
      <c r="L35" s="144" t="str">
        <f t="shared" ca="1" si="10"/>
        <v/>
      </c>
      <c r="M35" s="145" t="s">
        <v>199</v>
      </c>
      <c r="N35" s="146" t="str">
        <f t="shared" ca="1" si="11"/>
        <v>Serviço</v>
      </c>
      <c r="O35" s="147" t="str">
        <f t="shared" ca="1" si="12"/>
        <v>-</v>
      </c>
      <c r="P35" s="148" t="s">
        <v>247</v>
      </c>
      <c r="Q35" s="149" t="s">
        <v>474</v>
      </c>
      <c r="R35" s="150" t="str">
        <f ca="1">IF($C35="S",REFERENCIA.Descricao,"(digite a descrição aqui)")</f>
        <v>(abra o arquivo 'Referência 12-2023.xlsm)</v>
      </c>
      <c r="S35" s="151" t="str">
        <f ca="1">REFERENCIA.Unidade</f>
        <v>-</v>
      </c>
      <c r="T35" s="152">
        <f ca="1">OFFSET(CÁLCULO!H$15,ROW($T35)-ROW(T$15),0)</f>
        <v>7897.9500000000007</v>
      </c>
      <c r="U35" s="153">
        <f t="shared" ca="1" si="17"/>
        <v>0</v>
      </c>
      <c r="V35" s="154" t="s">
        <v>156</v>
      </c>
      <c r="W35" s="152">
        <f ca="1">IF($C35="S",ROUND(IF(TIPOORCAMENTO="Proposto",ORÇAMENTO.CustoUnitario*(1+$AH35),ORÇAMENTO.PrecoUnitarioLicitado),15-13*$AF$10),0)</f>
        <v>0</v>
      </c>
      <c r="X35" s="155">
        <f ca="1">IF($C35="S",IF(Import.TipoArredondamento&lt;&gt;"TransfereGOV",VTOTAL1,SUM(OFFSET(CÁLCULO!$AI$15,ROW($X35)-ROW($X$15),1):OFFSET(CÁLCULO!$BB$15,ROW($X35)-ROW($X$15),-1))),IF($C35=0,0,ROUND(SomaAgrup,15-13*$AF$11)))</f>
        <v>0</v>
      </c>
      <c r="Y35" s="156" t="s">
        <v>245</v>
      </c>
      <c r="Z35" t="str">
        <f t="shared" ca="1" si="13"/>
        <v/>
      </c>
      <c r="AA35" s="157">
        <f ca="1">IF($C35="S",IF($Z35="CP",$X35,IF($Z35="RA",(($X35)*QCI!$AA$3),0)),SomaAgrup)</f>
        <v>0</v>
      </c>
      <c r="AB35" s="158">
        <f t="shared" ca="1" si="14"/>
        <v>0</v>
      </c>
      <c r="AC35" s="159" t="str">
        <f ca="1">IF($N35="","",IF(ORÇAMENTO.Descricao="","DESCRIÇÃO",IF(AND($C35="S",ORÇAMENTO.Unidade=""),"UNIDADE",IF($X35&lt;0,"VALOR NEGATIVO",IF(OR(AND(TIPOORCAMENTO="Proposto",$AG35&lt;&gt;"",$AG35&gt;0,ORÇAMENTO.CustoUnitario&gt;$AG35),AND(TIPOORCAMENTO="LICITADO",ORÇAMENTO.PrecoUnitarioLicitado&gt;$AN35)),"ACIMA REF.","")))))</f>
        <v/>
      </c>
      <c r="AD35" s="105" t="str">
        <f ca="1">IF(C35&lt;=CRONO.NivelExibicao,MAX($AD$15:OFFSET(AD35,-1,0))+IF($C35&lt;&gt;1,1,MAX(1,COUNTIF(QCI!$A$13:$A$15,OFFSET($E35,-1,0)))),"")</f>
        <v/>
      </c>
      <c r="AE35" s="115" t="str">
        <f ca="1">IF(AND($C35="S",ORÇAMENTO.CodBarra&lt;&gt;""),IF(ORÇAMENTO.Fonte="",ORÇAMENTO.CodBarra,CONCATENATE(ORÇAMENTO.Fonte," ",ORÇAMENTO.CodBarra)))</f>
        <v>SINAPI 100970</v>
      </c>
      <c r="AF35" s="160" t="str">
        <f ca="1">IF(ISERROR(INDIRECT(ORÇAMENTO.BancoRef)),"(abra o arquivo 'Referência "&amp;Excel_BuiltIn_Database&amp;".xlsm)",IF(OR($C35&lt;&gt;"S",ORÇAMENTO.CodBarra=""),"(Sem Código)",IF(ISERROR(MATCH($AE35,INDIRECT(ORÇAMENTO.BancoRef),0)),"(Código não identificado nas referências)",MATCH($AE35,INDIRECT(ORÇAMENTO.BancoRef),0))))</f>
        <v>(abra o arquivo 'Referência 12-2023.xlsm)</v>
      </c>
      <c r="AG35" s="579">
        <f ca="1">ROUND(IF(DESONERACAO="sim",REFERENCIA.Desonerado,REFERENCIA.NaoDesonerado),2)</f>
        <v>0</v>
      </c>
      <c r="AH35" s="580">
        <f t="shared" ca="1" si="15"/>
        <v>0.26750000000000002</v>
      </c>
      <c r="AJ35" s="582"/>
      <c r="AL35" s="612"/>
      <c r="AM35" s="431">
        <f t="shared" ca="1" si="0"/>
        <v>0</v>
      </c>
      <c r="AN35" s="654">
        <f t="shared" ca="1" si="16"/>
        <v>0</v>
      </c>
    </row>
    <row r="36" spans="1:40" x14ac:dyDescent="0.2">
      <c r="A36">
        <f t="shared" si="1"/>
        <v>2</v>
      </c>
      <c r="B36">
        <f t="shared" ca="1" si="2"/>
        <v>2</v>
      </c>
      <c r="C36">
        <f t="shared" ca="1" si="3"/>
        <v>2</v>
      </c>
      <c r="D36">
        <f t="shared" ca="1" si="4"/>
        <v>3</v>
      </c>
      <c r="E36">
        <f ca="1">IF($C36=1,OFFSET(E36,-1,0)+MAX(1,COUNTIF(QCI!$A$13:$A$15,OFFSET(ORÇAMENTO!E36,-1,0))),OFFSET(E36,-1,0))</f>
        <v>1</v>
      </c>
      <c r="F36">
        <f t="shared" ca="1" si="5"/>
        <v>5</v>
      </c>
      <c r="G36">
        <f t="shared" ca="1" si="6"/>
        <v>0</v>
      </c>
      <c r="H36">
        <f t="shared" ca="1" si="7"/>
        <v>0</v>
      </c>
      <c r="I36">
        <f t="shared" ca="1" si="8"/>
        <v>0</v>
      </c>
      <c r="J36">
        <f t="shared" ca="1" si="9"/>
        <v>22</v>
      </c>
      <c r="K36">
        <f ca="1">IF(OR($C36="S",$C36=0),0,MATCH(OFFSET($D36,0,$C36)+IF($C36&lt;&gt;1,1,COUNTIF(QCI!$A$13:$A$15,ORÇAMENTO!E36)),OFFSET($D36,1,$C36,ROW($C$58)-ROW($C36)),0))</f>
        <v>3</v>
      </c>
      <c r="L36" s="144" t="str">
        <f t="shared" ca="1" si="10"/>
        <v>F</v>
      </c>
      <c r="M36" s="145" t="s">
        <v>196</v>
      </c>
      <c r="N36" s="146" t="str">
        <f t="shared" ca="1" si="11"/>
        <v>Nível 2</v>
      </c>
      <c r="O36" s="147" t="str">
        <f t="shared" ca="1" si="12"/>
        <v>1.5.</v>
      </c>
      <c r="P36" s="148" t="s">
        <v>247</v>
      </c>
      <c r="Q36" s="149"/>
      <c r="R36" s="150" t="s">
        <v>470</v>
      </c>
      <c r="S36" s="151" t="str">
        <f ca="1">REFERENCIA.Unidade</f>
        <v>-</v>
      </c>
      <c r="T36" s="152">
        <f ca="1">OFFSET(CÁLCULO!H$15,ROW($T36)-ROW(T$15),0)</f>
        <v>0</v>
      </c>
      <c r="U36" s="153">
        <f t="shared" ca="1" si="17"/>
        <v>0</v>
      </c>
      <c r="V36" s="154" t="s">
        <v>156</v>
      </c>
      <c r="W36" s="152">
        <f ca="1">IF($C36="S",ROUND(IF(TIPOORCAMENTO="Proposto",ORÇAMENTO.CustoUnitario*(1+$AH36),ORÇAMENTO.PrecoUnitarioLicitado),15-13*$AF$10),0)</f>
        <v>0</v>
      </c>
      <c r="X36" s="155">
        <f ca="1">IF($C36="S",IF(Import.TipoArredondamento&lt;&gt;"TransfereGOV",VTOTAL1,SUM(OFFSET(CÁLCULO!$AI$15,ROW($X36)-ROW($X$15),1):OFFSET(CÁLCULO!$BB$15,ROW($X36)-ROW($X$15),-1))),IF($C36=0,0,ROUND(SomaAgrup,15-13*$AF$11)))</f>
        <v>0</v>
      </c>
      <c r="Y36" s="156" t="s">
        <v>245</v>
      </c>
      <c r="Z36" t="str">
        <f t="shared" ca="1" si="13"/>
        <v/>
      </c>
      <c r="AA36" s="157">
        <f ca="1">IF($C36="S",IF($Z36="CP",$X36,IF($Z36="RA",(($X36)*QCI!$AA$3),0)),SomaAgrup)</f>
        <v>0</v>
      </c>
      <c r="AB36" s="158">
        <f t="shared" ca="1" si="14"/>
        <v>0</v>
      </c>
      <c r="AC36" s="159" t="str">
        <f ca="1">IF($N36="","",IF(ORÇAMENTO.Descricao="","DESCRIÇÃO",IF(AND($C36="S",ORÇAMENTO.Unidade=""),"UNIDADE",IF($X36&lt;0,"VALOR NEGATIVO",IF(OR(AND(TIPOORCAMENTO="Proposto",$AG36&lt;&gt;"",$AG36&gt;0,ORÇAMENTO.CustoUnitario&gt;$AG36),AND(TIPOORCAMENTO="LICITADO",ORÇAMENTO.PrecoUnitarioLicitado&gt;$AN36)),"ACIMA REF.","")))))</f>
        <v/>
      </c>
      <c r="AD36" s="105">
        <f ca="1">IF(C36&lt;=CRONO.NivelExibicao,MAX($AD$15:OFFSET(AD36,-1,0))+IF($C36&lt;&gt;1,1,MAX(1,COUNTIF(QCI!$A$13:$A$15,OFFSET($E36,-1,0)))),"")</f>
        <v>6</v>
      </c>
      <c r="AE36" s="115" t="b">
        <f ca="1">IF(AND($C36="S",ORÇAMENTO.CodBarra&lt;&gt;""),IF(ORÇAMENTO.Fonte="",ORÇAMENTO.CodBarra,CONCATENATE(ORÇAMENTO.Fonte," ",ORÇAMENTO.CodBarra)))</f>
        <v>0</v>
      </c>
      <c r="AF36" s="160" t="str">
        <f ca="1">IF(ISERROR(INDIRECT(ORÇAMENTO.BancoRef)),"(abra o arquivo 'Referência "&amp;Excel_BuiltIn_Database&amp;".xlsm)",IF(OR($C36&lt;&gt;"S",ORÇAMENTO.CodBarra=""),"(Sem Código)",IF(ISERROR(MATCH($AE36,INDIRECT(ORÇAMENTO.BancoRef),0)),"(Código não identificado nas referências)",MATCH($AE36,INDIRECT(ORÇAMENTO.BancoRef),0))))</f>
        <v>(abra o arquivo 'Referência 12-2023.xlsm)</v>
      </c>
      <c r="AG36" s="579">
        <f ca="1">ROUND(IF(DESONERACAO="sim",REFERENCIA.Desonerado,REFERENCIA.NaoDesonerado),2)</f>
        <v>0</v>
      </c>
      <c r="AH36" s="580">
        <f t="shared" ca="1" si="15"/>
        <v>0.26750000000000002</v>
      </c>
      <c r="AJ36" s="582"/>
      <c r="AL36" s="612"/>
      <c r="AM36" s="431">
        <f t="shared" ca="1" si="0"/>
        <v>0</v>
      </c>
      <c r="AN36" s="654">
        <f t="shared" ca="1" si="16"/>
        <v>0</v>
      </c>
    </row>
    <row r="37" spans="1:40" x14ac:dyDescent="0.2">
      <c r="A37" t="str">
        <f t="shared" si="1"/>
        <v>S</v>
      </c>
      <c r="B37">
        <f t="shared" ca="1" si="2"/>
        <v>2</v>
      </c>
      <c r="C37" t="str">
        <f t="shared" ca="1" si="3"/>
        <v>S</v>
      </c>
      <c r="D37">
        <f t="shared" ca="1" si="4"/>
        <v>0</v>
      </c>
      <c r="E37">
        <f ca="1">IF($C37=1,OFFSET(E37,-1,0)+MAX(1,COUNTIF(QCI!$A$13:$A$15,OFFSET(ORÇAMENTO!E37,-1,0))),OFFSET(E37,-1,0))</f>
        <v>1</v>
      </c>
      <c r="F37">
        <f t="shared" ca="1" si="5"/>
        <v>5</v>
      </c>
      <c r="G37">
        <f t="shared" ca="1" si="6"/>
        <v>0</v>
      </c>
      <c r="H37">
        <f t="shared" ca="1" si="7"/>
        <v>0</v>
      </c>
      <c r="I37">
        <f t="shared" ca="1" si="8"/>
        <v>0</v>
      </c>
      <c r="J37">
        <f t="shared" ca="1" si="9"/>
        <v>0</v>
      </c>
      <c r="K37">
        <f ca="1">IF(OR($C37="S",$C37=0),0,MATCH(OFFSET($D37,0,$C37)+IF($C37&lt;&gt;1,1,COUNTIF(QCI!$A$13:$A$15,ORÇAMENTO!E37)),OFFSET($D37,1,$C37,ROW($C$58)-ROW($C37)),0))</f>
        <v>0</v>
      </c>
      <c r="L37" s="144" t="str">
        <f t="shared" ca="1" si="10"/>
        <v/>
      </c>
      <c r="M37" s="145" t="s">
        <v>199</v>
      </c>
      <c r="N37" s="146" t="str">
        <f t="shared" ca="1" si="11"/>
        <v>Serviço</v>
      </c>
      <c r="O37" s="147" t="str">
        <f t="shared" ca="1" si="12"/>
        <v>-</v>
      </c>
      <c r="P37" s="148" t="s">
        <v>247</v>
      </c>
      <c r="Q37" s="149" t="s">
        <v>476</v>
      </c>
      <c r="R37" s="150" t="str">
        <f ca="1">IF($C37="S",REFERENCIA.Descricao,"(digite a descrição aqui)")</f>
        <v>(abra o arquivo 'Referência 12-2023.xlsm)</v>
      </c>
      <c r="S37" s="151" t="str">
        <f ca="1">REFERENCIA.Unidade</f>
        <v>-</v>
      </c>
      <c r="T37" s="152">
        <f ca="1">OFFSET(CÁLCULO!H$15,ROW($T37)-ROW(T$15),0)</f>
        <v>827</v>
      </c>
      <c r="U37" s="153">
        <f t="shared" ca="1" si="17"/>
        <v>0</v>
      </c>
      <c r="V37" s="154" t="s">
        <v>156</v>
      </c>
      <c r="W37" s="152">
        <f ca="1">IF($C37="S",ROUND(IF(TIPOORCAMENTO="Proposto",ORÇAMENTO.CustoUnitario*(1+$AH37),ORÇAMENTO.PrecoUnitarioLicitado),15-13*$AF$10),0)</f>
        <v>0</v>
      </c>
      <c r="X37" s="155">
        <f ca="1">IF($C37="S",IF(Import.TipoArredondamento&lt;&gt;"TransfereGOV",VTOTAL1,SUM(OFFSET(CÁLCULO!$AI$15,ROW($X37)-ROW($X$15),1):OFFSET(CÁLCULO!$BB$15,ROW($X37)-ROW($X$15),-1))),IF($C37=0,0,ROUND(SomaAgrup,15-13*$AF$11)))</f>
        <v>0</v>
      </c>
      <c r="Y37" s="156" t="s">
        <v>245</v>
      </c>
      <c r="Z37" t="str">
        <f t="shared" ca="1" si="13"/>
        <v/>
      </c>
      <c r="AA37" s="157">
        <f ca="1">IF($C37="S",IF($Z37="CP",$X37,IF($Z37="RA",(($X37)*QCI!$AA$3),0)),SomaAgrup)</f>
        <v>0</v>
      </c>
      <c r="AB37" s="158">
        <f t="shared" ca="1" si="14"/>
        <v>0</v>
      </c>
      <c r="AC37" s="159" t="str">
        <f ca="1">IF($N37="","",IF(ORÇAMENTO.Descricao="","DESCRIÇÃO",IF(AND($C37="S",ORÇAMENTO.Unidade=""),"UNIDADE",IF($X37&lt;0,"VALOR NEGATIVO",IF(OR(AND(TIPOORCAMENTO="Proposto",$AG37&lt;&gt;"",$AG37&gt;0,ORÇAMENTO.CustoUnitario&gt;$AG37),AND(TIPOORCAMENTO="LICITADO",ORÇAMENTO.PrecoUnitarioLicitado&gt;$AN37)),"ACIMA REF.","")))))</f>
        <v/>
      </c>
      <c r="AD37" s="105" t="str">
        <f ca="1">IF(C37&lt;=CRONO.NivelExibicao,MAX($AD$15:OFFSET(AD37,-1,0))+IF($C37&lt;&gt;1,1,MAX(1,COUNTIF(QCI!$A$13:$A$15,OFFSET($E37,-1,0)))),"")</f>
        <v/>
      </c>
      <c r="AE37" s="115" t="str">
        <f ca="1">IF(AND($C37="S",ORÇAMENTO.CodBarra&lt;&gt;""),IF(ORÇAMENTO.Fonte="",ORÇAMENTO.CodBarra,CONCATENATE(ORÇAMENTO.Fonte," ",ORÇAMENTO.CodBarra)))</f>
        <v>SINAPI 95995</v>
      </c>
      <c r="AF37" s="160" t="str">
        <f ca="1">IF(ISERROR(INDIRECT(ORÇAMENTO.BancoRef)),"(abra o arquivo 'Referência "&amp;Excel_BuiltIn_Database&amp;".xlsm)",IF(OR($C37&lt;&gt;"S",ORÇAMENTO.CodBarra=""),"(Sem Código)",IF(ISERROR(MATCH($AE37,INDIRECT(ORÇAMENTO.BancoRef),0)),"(Código não identificado nas referências)",MATCH($AE37,INDIRECT(ORÇAMENTO.BancoRef),0))))</f>
        <v>(abra o arquivo 'Referência 12-2023.xlsm)</v>
      </c>
      <c r="AG37" s="579">
        <f ca="1">ROUND(IF(DESONERACAO="sim",REFERENCIA.Desonerado,REFERENCIA.NaoDesonerado),2)</f>
        <v>0</v>
      </c>
      <c r="AH37" s="580">
        <f t="shared" ca="1" si="15"/>
        <v>0.26750000000000002</v>
      </c>
      <c r="AJ37" s="582"/>
      <c r="AL37" s="612"/>
      <c r="AM37" s="431">
        <f t="shared" ca="1" si="0"/>
        <v>0</v>
      </c>
      <c r="AN37" s="654">
        <f t="shared" ca="1" si="16"/>
        <v>0</v>
      </c>
    </row>
    <row r="38" spans="1:40" x14ac:dyDescent="0.2">
      <c r="A38" t="str">
        <f t="shared" si="1"/>
        <v>S</v>
      </c>
      <c r="B38">
        <f t="shared" ca="1" si="2"/>
        <v>2</v>
      </c>
      <c r="C38" t="str">
        <f t="shared" ca="1" si="3"/>
        <v>S</v>
      </c>
      <c r="D38">
        <f t="shared" ca="1" si="4"/>
        <v>0</v>
      </c>
      <c r="E38">
        <f ca="1">IF($C38=1,OFFSET(E38,-1,0)+MAX(1,COUNTIF(QCI!$A$13:$A$15,OFFSET(ORÇAMENTO!E38,-1,0))),OFFSET(E38,-1,0))</f>
        <v>1</v>
      </c>
      <c r="F38">
        <f t="shared" ca="1" si="5"/>
        <v>5</v>
      </c>
      <c r="G38">
        <f t="shared" ca="1" si="6"/>
        <v>0</v>
      </c>
      <c r="H38">
        <f t="shared" ca="1" si="7"/>
        <v>0</v>
      </c>
      <c r="I38">
        <f t="shared" ca="1" si="8"/>
        <v>0</v>
      </c>
      <c r="J38">
        <f t="shared" ca="1" si="9"/>
        <v>0</v>
      </c>
      <c r="K38">
        <f ca="1">IF(OR($C38="S",$C38=0),0,MATCH(OFFSET($D38,0,$C38)+IF($C38&lt;&gt;1,1,COUNTIF(QCI!$A$13:$A$15,ORÇAMENTO!E38)),OFFSET($D38,1,$C38,ROW($C$58)-ROW($C38)),0))</f>
        <v>0</v>
      </c>
      <c r="L38" s="144" t="str">
        <f t="shared" ca="1" si="10"/>
        <v/>
      </c>
      <c r="M38" s="145" t="s">
        <v>199</v>
      </c>
      <c r="N38" s="146" t="str">
        <f t="shared" ca="1" si="11"/>
        <v>Serviço</v>
      </c>
      <c r="O38" s="147" t="str">
        <f t="shared" ca="1" si="12"/>
        <v>-</v>
      </c>
      <c r="P38" s="148" t="s">
        <v>459</v>
      </c>
      <c r="Q38" s="149" t="s">
        <v>477</v>
      </c>
      <c r="R38" s="150" t="str">
        <f ca="1">IF($C38="S",REFERENCIA.Descricao,"(digite a descrição aqui)")</f>
        <v>(abra o arquivo 'Referência 12-2023.xlsm)</v>
      </c>
      <c r="S38" s="151" t="str">
        <f ca="1">REFERENCIA.Unidade</f>
        <v>-</v>
      </c>
      <c r="T38" s="152">
        <f ca="1">OFFSET(CÁLCULO!H$15,ROW($T38)-ROW(T$15),0)</f>
        <v>48131.939999999995</v>
      </c>
      <c r="U38" s="153">
        <f t="shared" ca="1" si="17"/>
        <v>0</v>
      </c>
      <c r="V38" s="154" t="s">
        <v>156</v>
      </c>
      <c r="W38" s="152">
        <f ca="1">IF($C38="S",ROUND(IF(TIPOORCAMENTO="Proposto",ORÇAMENTO.CustoUnitario*(1+$AH38),ORÇAMENTO.PrecoUnitarioLicitado),15-13*$AF$10),0)</f>
        <v>0</v>
      </c>
      <c r="X38" s="155">
        <f ca="1">IF($C38="S",IF(Import.TipoArredondamento&lt;&gt;"TransfereGOV",VTOTAL1,SUM(OFFSET(CÁLCULO!$AI$15,ROW($X38)-ROW($X$15),1):OFFSET(CÁLCULO!$BB$15,ROW($X38)-ROW($X$15),-1))),IF($C38=0,0,ROUND(SomaAgrup,15-13*$AF$11)))</f>
        <v>0</v>
      </c>
      <c r="Y38" s="156" t="s">
        <v>245</v>
      </c>
      <c r="Z38" t="str">
        <f t="shared" ca="1" si="13"/>
        <v/>
      </c>
      <c r="AA38" s="157">
        <f ca="1">IF($C38="S",IF($Z38="CP",$X38,IF($Z38="RA",(($X38)*QCI!$AA$3),0)),SomaAgrup)</f>
        <v>0</v>
      </c>
      <c r="AB38" s="158">
        <f t="shared" ca="1" si="14"/>
        <v>0</v>
      </c>
      <c r="AC38" s="159" t="str">
        <f ca="1">IF($N38="","",IF(ORÇAMENTO.Descricao="","DESCRIÇÃO",IF(AND($C38="S",ORÇAMENTO.Unidade=""),"UNIDADE",IF($X38&lt;0,"VALOR NEGATIVO",IF(OR(AND(TIPOORCAMENTO="Proposto",$AG38&lt;&gt;"",$AG38&gt;0,ORÇAMENTO.CustoUnitario&gt;$AG38),AND(TIPOORCAMENTO="LICITADO",ORÇAMENTO.PrecoUnitarioLicitado&gt;$AN38)),"ACIMA REF.","")))))</f>
        <v/>
      </c>
      <c r="AD38" s="105" t="str">
        <f ca="1">IF(C38&lt;=CRONO.NivelExibicao,MAX($AD$15:OFFSET(AD38,-1,0))+IF($C38&lt;&gt;1,1,MAX(1,COUNTIF(QCI!$A$13:$A$15,OFFSET($E38,-1,0)))),"")</f>
        <v/>
      </c>
      <c r="AE38" s="115" t="str">
        <f ca="1">IF(AND($C38="S",ORÇAMENTO.CodBarra&lt;&gt;""),IF(ORÇAMENTO.Fonte="",ORÇAMENTO.CodBarra,CONCATENATE(ORÇAMENTO.Fonte," ",ORÇAMENTO.CodBarra)))</f>
        <v>SEINFRA RO-41368</v>
      </c>
      <c r="AF38" s="160" t="str">
        <f ca="1">IF(ISERROR(INDIRECT(ORÇAMENTO.BancoRef)),"(abra o arquivo 'Referência "&amp;Excel_BuiltIn_Database&amp;".xlsm)",IF(OR($C38&lt;&gt;"S",ORÇAMENTO.CodBarra=""),"(Sem Código)",IF(ISERROR(MATCH($AE38,INDIRECT(ORÇAMENTO.BancoRef),0)),"(Código não identificado nas referências)",MATCH($AE38,INDIRECT(ORÇAMENTO.BancoRef),0))))</f>
        <v>(abra o arquivo 'Referência 12-2023.xlsm)</v>
      </c>
      <c r="AG38" s="579">
        <f ca="1">ROUND(IF(DESONERACAO="sim",REFERENCIA.Desonerado,REFERENCIA.NaoDesonerado),2)</f>
        <v>0</v>
      </c>
      <c r="AH38" s="580">
        <f t="shared" ca="1" si="15"/>
        <v>0.26750000000000002</v>
      </c>
      <c r="AJ38" s="582"/>
      <c r="AL38" s="612"/>
      <c r="AM38" s="431">
        <f t="shared" ca="1" si="0"/>
        <v>0</v>
      </c>
      <c r="AN38" s="654">
        <f t="shared" ca="1" si="16"/>
        <v>0</v>
      </c>
    </row>
    <row r="39" spans="1:40" x14ac:dyDescent="0.2">
      <c r="A39">
        <f t="shared" si="1"/>
        <v>2</v>
      </c>
      <c r="B39">
        <f t="shared" ca="1" si="2"/>
        <v>2</v>
      </c>
      <c r="C39">
        <f t="shared" ca="1" si="3"/>
        <v>2</v>
      </c>
      <c r="D39">
        <f t="shared" ca="1" si="4"/>
        <v>3</v>
      </c>
      <c r="E39">
        <f ca="1">IF($C39=1,OFFSET(E39,-1,0)+MAX(1,COUNTIF(QCI!$A$13:$A$15,OFFSET(ORÇAMENTO!E39,-1,0))),OFFSET(E39,-1,0))</f>
        <v>1</v>
      </c>
      <c r="F39">
        <f t="shared" ca="1" si="5"/>
        <v>6</v>
      </c>
      <c r="G39">
        <f t="shared" ca="1" si="6"/>
        <v>0</v>
      </c>
      <c r="H39">
        <f t="shared" ca="1" si="7"/>
        <v>0</v>
      </c>
      <c r="I39">
        <f t="shared" ca="1" si="8"/>
        <v>0</v>
      </c>
      <c r="J39">
        <f t="shared" ca="1" si="9"/>
        <v>19</v>
      </c>
      <c r="K39">
        <f ca="1">IF(OR($C39="S",$C39=0),0,MATCH(OFFSET($D39,0,$C39)+IF($C39&lt;&gt;1,1,COUNTIF(QCI!$A$13:$A$15,ORÇAMENTO!E39)),OFFSET($D39,1,$C39,ROW($C$58)-ROW($C39)),0))</f>
        <v>3</v>
      </c>
      <c r="L39" s="144" t="str">
        <f t="shared" ca="1" si="10"/>
        <v>F</v>
      </c>
      <c r="M39" s="145" t="s">
        <v>196</v>
      </c>
      <c r="N39" s="146" t="str">
        <f t="shared" ca="1" si="11"/>
        <v>Nível 2</v>
      </c>
      <c r="O39" s="147" t="str">
        <f t="shared" ca="1" si="12"/>
        <v>1.6.</v>
      </c>
      <c r="P39" s="148" t="s">
        <v>247</v>
      </c>
      <c r="Q39" s="149"/>
      <c r="R39" s="150" t="s">
        <v>471</v>
      </c>
      <c r="S39" s="151" t="str">
        <f ca="1">REFERENCIA.Unidade</f>
        <v>-</v>
      </c>
      <c r="T39" s="152">
        <f ca="1">OFFSET(CÁLCULO!H$15,ROW($T39)-ROW(T$15),0)</f>
        <v>0</v>
      </c>
      <c r="U39" s="153">
        <f t="shared" ca="1" si="17"/>
        <v>0</v>
      </c>
      <c r="V39" s="154" t="s">
        <v>156</v>
      </c>
      <c r="W39" s="152">
        <f ca="1">IF($C39="S",ROUND(IF(TIPOORCAMENTO="Proposto",ORÇAMENTO.CustoUnitario*(1+$AH39),ORÇAMENTO.PrecoUnitarioLicitado),15-13*$AF$10),0)</f>
        <v>0</v>
      </c>
      <c r="X39" s="155">
        <f ca="1">IF($C39="S",IF(Import.TipoArredondamento&lt;&gt;"TransfereGOV",VTOTAL1,SUM(OFFSET(CÁLCULO!$AI$15,ROW($X39)-ROW($X$15),1):OFFSET(CÁLCULO!$BB$15,ROW($X39)-ROW($X$15),-1))),IF($C39=0,0,ROUND(SomaAgrup,15-13*$AF$11)))</f>
        <v>0</v>
      </c>
      <c r="Y39" s="156" t="s">
        <v>245</v>
      </c>
      <c r="Z39" t="str">
        <f t="shared" ca="1" si="13"/>
        <v/>
      </c>
      <c r="AA39" s="157">
        <f ca="1">IF($C39="S",IF($Z39="CP",$X39,IF($Z39="RA",(($X39)*QCI!$AA$3),0)),SomaAgrup)</f>
        <v>0</v>
      </c>
      <c r="AB39" s="158">
        <f t="shared" ca="1" si="14"/>
        <v>0</v>
      </c>
      <c r="AC39" s="159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105">
        <f ca="1">IF(C39&lt;=CRONO.NivelExibicao,MAX($AD$15:OFFSET(AD39,-1,0))+IF($C39&lt;&gt;1,1,MAX(1,COUNTIF(QCI!$A$13:$A$15,OFFSET($E39,-1,0)))),"")</f>
        <v>7</v>
      </c>
      <c r="AE39" s="115" t="b">
        <f ca="1">IF(AND($C39="S",ORÇAMENTO.CodBarra&lt;&gt;""),IF(ORÇAMENTO.Fonte="",ORÇAMENTO.CodBarra,CONCATENATE(ORÇAMENTO.Fonte," ",ORÇAMENTO.CodBarra)))</f>
        <v>0</v>
      </c>
      <c r="AF39" s="160" t="str">
        <f ca="1">IF(ISERROR(INDIRECT(ORÇAMENTO.BancoRef)),"(abra o arquivo 'Referência "&amp;Excel_BuiltIn_Database&amp;".xlsm)",IF(OR($C39&lt;&gt;"S",ORÇAMENTO.CodBarra=""),"(Sem Código)",IF(ISERROR(MATCH($AE39,INDIRECT(ORÇAMENTO.BancoRef),0)),"(Código não identificado nas referências)",MATCH($AE39,INDIRECT(ORÇAMENTO.BancoRef),0))))</f>
        <v>(abra o arquivo 'Referência 12-2023.xlsm)</v>
      </c>
      <c r="AG39" s="579">
        <f ca="1">ROUND(IF(DESONERACAO="sim",REFERENCIA.Desonerado,REFERENCIA.NaoDesonerado),2)</f>
        <v>0</v>
      </c>
      <c r="AH39" s="580">
        <f t="shared" ca="1" si="15"/>
        <v>0.26750000000000002</v>
      </c>
      <c r="AJ39" s="582"/>
      <c r="AL39" s="612"/>
      <c r="AM39" s="431">
        <f t="shared" ca="1" si="0"/>
        <v>0</v>
      </c>
      <c r="AN39" s="654">
        <f t="shared" ca="1" si="16"/>
        <v>0</v>
      </c>
    </row>
    <row r="40" spans="1:40" x14ac:dyDescent="0.2">
      <c r="A40" t="str">
        <f t="shared" si="1"/>
        <v>S</v>
      </c>
      <c r="B40">
        <f t="shared" ca="1" si="2"/>
        <v>2</v>
      </c>
      <c r="C40" t="str">
        <f t="shared" ca="1" si="3"/>
        <v>S</v>
      </c>
      <c r="D40">
        <f t="shared" ca="1" si="4"/>
        <v>0</v>
      </c>
      <c r="E40">
        <f ca="1">IF($C40=1,OFFSET(E40,-1,0)+MAX(1,COUNTIF(QCI!$A$13:$A$15,OFFSET(ORÇAMENTO!E40,-1,0))),OFFSET(E40,-1,0))</f>
        <v>1</v>
      </c>
      <c r="F40">
        <f t="shared" ca="1" si="5"/>
        <v>6</v>
      </c>
      <c r="G40">
        <f t="shared" ca="1" si="6"/>
        <v>0</v>
      </c>
      <c r="H40">
        <f t="shared" ca="1" si="7"/>
        <v>0</v>
      </c>
      <c r="I40">
        <f t="shared" ca="1" si="8"/>
        <v>0</v>
      </c>
      <c r="J40">
        <f t="shared" ca="1" si="9"/>
        <v>0</v>
      </c>
      <c r="K40">
        <f ca="1">IF(OR($C40="S",$C40=0),0,MATCH(OFFSET($D40,0,$C40)+IF($C40&lt;&gt;1,1,COUNTIF(QCI!$A$13:$A$15,ORÇAMENTO!E40)),OFFSET($D40,1,$C40,ROW($C$58)-ROW($C40)),0))</f>
        <v>0</v>
      </c>
      <c r="L40" s="144" t="str">
        <f t="shared" ca="1" si="10"/>
        <v/>
      </c>
      <c r="M40" s="145" t="s">
        <v>199</v>
      </c>
      <c r="N40" s="146" t="str">
        <f t="shared" ca="1" si="11"/>
        <v>Serviço</v>
      </c>
      <c r="O40" s="147" t="str">
        <f t="shared" ca="1" si="12"/>
        <v>-</v>
      </c>
      <c r="P40" s="148" t="s">
        <v>247</v>
      </c>
      <c r="Q40" s="149" t="s">
        <v>479</v>
      </c>
      <c r="R40" s="150" t="str">
        <f ca="1">IF($C40="S",REFERENCIA.Descricao,"(digite a descrição aqui)")</f>
        <v>(abra o arquivo 'Referência 12-2023.xlsm)</v>
      </c>
      <c r="S40" s="151" t="str">
        <f ca="1">REFERENCIA.Unidade</f>
        <v>-</v>
      </c>
      <c r="T40" s="152">
        <f ca="1">OFFSET(CÁLCULO!H$15,ROW($T40)-ROW(T$15),0)</f>
        <v>8467.1200000000008</v>
      </c>
      <c r="U40" s="153">
        <f t="shared" ca="1" si="17"/>
        <v>0</v>
      </c>
      <c r="V40" s="154" t="s">
        <v>156</v>
      </c>
      <c r="W40" s="152">
        <f ca="1">IF($C40="S",ROUND(IF(TIPOORCAMENTO="Proposto",ORÇAMENTO.CustoUnitario*(1+$AH40),ORÇAMENTO.PrecoUnitarioLicitado),15-13*$AF$10),0)</f>
        <v>0</v>
      </c>
      <c r="X40" s="155">
        <f ca="1">IF($C40="S",IF(Import.TipoArredondamento&lt;&gt;"TransfereGOV",VTOTAL1,SUM(OFFSET(CÁLCULO!$AI$15,ROW($X40)-ROW($X$15),1):OFFSET(CÁLCULO!$BB$15,ROW($X40)-ROW($X$15),-1))),IF($C40=0,0,ROUND(SomaAgrup,15-13*$AF$11)))</f>
        <v>0</v>
      </c>
      <c r="Y40" s="156" t="s">
        <v>245</v>
      </c>
      <c r="Z40" t="str">
        <f t="shared" ca="1" si="13"/>
        <v/>
      </c>
      <c r="AA40" s="157">
        <f ca="1">IF($C40="S",IF($Z40="CP",$X40,IF($Z40="RA",(($X40)*QCI!$AA$3),0)),SomaAgrup)</f>
        <v>0</v>
      </c>
      <c r="AB40" s="158">
        <f t="shared" ca="1" si="14"/>
        <v>0</v>
      </c>
      <c r="AC40" s="159" t="str">
        <f ca="1">IF($N40="","",IF(ORÇAMENTO.Descricao="","DESCRIÇÃO",IF(AND($C40="S",ORÇAMENTO.Unidade=""),"UNIDADE",IF($X40&lt;0,"VALOR NEGATIVO",IF(OR(AND(TIPOORCAMENTO="Proposto",$AG40&lt;&gt;"",$AG40&gt;0,ORÇAMENTO.CustoUnitario&gt;$AG40),AND(TIPOORCAMENTO="LICITADO",ORÇAMENTO.PrecoUnitarioLicitado&gt;$AN40)),"ACIMA REF.","")))))</f>
        <v/>
      </c>
      <c r="AD40" s="105" t="str">
        <f ca="1">IF(C40&lt;=CRONO.NivelExibicao,MAX($AD$15:OFFSET(AD40,-1,0))+IF($C40&lt;&gt;1,1,MAX(1,COUNTIF(QCI!$A$13:$A$15,OFFSET($E40,-1,0)))),"")</f>
        <v/>
      </c>
      <c r="AE40" s="115" t="str">
        <f ca="1">IF(AND($C40="S",ORÇAMENTO.CodBarra&lt;&gt;""),IF(ORÇAMENTO.Fonte="",ORÇAMENTO.CodBarra,CONCATENATE(ORÇAMENTO.Fonte," ",ORÇAMENTO.CodBarra)))</f>
        <v>SINAPI 94267</v>
      </c>
      <c r="AF40" s="160" t="str">
        <f ca="1">IF(ISERROR(INDIRECT(ORÇAMENTO.BancoRef)),"(abra o arquivo 'Referência "&amp;Excel_BuiltIn_Database&amp;".xlsm)",IF(OR($C40&lt;&gt;"S",ORÇAMENTO.CodBarra=""),"(Sem Código)",IF(ISERROR(MATCH($AE40,INDIRECT(ORÇAMENTO.BancoRef),0)),"(Código não identificado nas referências)",MATCH($AE40,INDIRECT(ORÇAMENTO.BancoRef),0))))</f>
        <v>(abra o arquivo 'Referência 12-2023.xlsm)</v>
      </c>
      <c r="AG40" s="579">
        <f ca="1">ROUND(IF(DESONERACAO="sim",REFERENCIA.Desonerado,REFERENCIA.NaoDesonerado),2)</f>
        <v>0</v>
      </c>
      <c r="AH40" s="580">
        <f t="shared" ca="1" si="15"/>
        <v>0.26750000000000002</v>
      </c>
      <c r="AJ40" s="582"/>
      <c r="AL40" s="612"/>
      <c r="AM40" s="431">
        <f t="shared" ca="1" si="0"/>
        <v>0</v>
      </c>
      <c r="AN40" s="654">
        <f t="shared" ca="1" si="16"/>
        <v>0</v>
      </c>
    </row>
    <row r="41" spans="1:40" x14ac:dyDescent="0.2">
      <c r="A41" t="str">
        <f t="shared" si="1"/>
        <v>S</v>
      </c>
      <c r="B41">
        <f t="shared" ca="1" si="2"/>
        <v>2</v>
      </c>
      <c r="C41" t="str">
        <f t="shared" ca="1" si="3"/>
        <v>S</v>
      </c>
      <c r="D41">
        <f t="shared" ca="1" si="4"/>
        <v>0</v>
      </c>
      <c r="E41">
        <f ca="1">IF($C41=1,OFFSET(E41,-1,0)+MAX(1,COUNTIF(QCI!$A$13:$A$15,OFFSET(ORÇAMENTO!E41,-1,0))),OFFSET(E41,-1,0))</f>
        <v>1</v>
      </c>
      <c r="F41">
        <f t="shared" ca="1" si="5"/>
        <v>6</v>
      </c>
      <c r="G41">
        <f t="shared" ca="1" si="6"/>
        <v>0</v>
      </c>
      <c r="H41">
        <f t="shared" ca="1" si="7"/>
        <v>0</v>
      </c>
      <c r="I41">
        <f t="shared" ca="1" si="8"/>
        <v>0</v>
      </c>
      <c r="J41">
        <f t="shared" ca="1" si="9"/>
        <v>0</v>
      </c>
      <c r="K41">
        <f ca="1">IF(OR($C41="S",$C41=0),0,MATCH(OFFSET($D41,0,$C41)+IF($C41&lt;&gt;1,1,COUNTIF(QCI!$A$13:$A$15,ORÇAMENTO!E41)),OFFSET($D41,1,$C41,ROW($C$58)-ROW($C41)),0))</f>
        <v>0</v>
      </c>
      <c r="L41" s="144" t="str">
        <f t="shared" ca="1" si="10"/>
        <v/>
      </c>
      <c r="M41" s="145" t="s">
        <v>199</v>
      </c>
      <c r="N41" s="146" t="str">
        <f t="shared" ca="1" si="11"/>
        <v>Serviço</v>
      </c>
      <c r="O41" s="147" t="str">
        <f t="shared" ca="1" si="12"/>
        <v>-</v>
      </c>
      <c r="P41" s="148" t="s">
        <v>247</v>
      </c>
      <c r="Q41" s="149" t="s">
        <v>478</v>
      </c>
      <c r="R41" s="150" t="str">
        <f ca="1">IF($C41="S",REFERENCIA.Descricao,"(digite a descrição aqui)")</f>
        <v>(abra o arquivo 'Referência 12-2023.xlsm)</v>
      </c>
      <c r="S41" s="151" t="str">
        <f ca="1">REFERENCIA.Unidade</f>
        <v>-</v>
      </c>
      <c r="T41" s="152">
        <f ca="1">OFFSET(CÁLCULO!H$15,ROW($T41)-ROW(T$15),0)</f>
        <v>590.81000000000006</v>
      </c>
      <c r="U41" s="153">
        <f t="shared" ca="1" si="17"/>
        <v>0</v>
      </c>
      <c r="V41" s="154" t="s">
        <v>156</v>
      </c>
      <c r="W41" s="152">
        <f ca="1">IF($C41="S",ROUND(IF(TIPOORCAMENTO="Proposto",ORÇAMENTO.CustoUnitario*(1+$AH41),ORÇAMENTO.PrecoUnitarioLicitado),15-13*$AF$10),0)</f>
        <v>0</v>
      </c>
      <c r="X41" s="155">
        <f ca="1">IF($C41="S",IF(Import.TipoArredondamento&lt;&gt;"TransfereGOV",VTOTAL1,SUM(OFFSET(CÁLCULO!$AI$15,ROW($X41)-ROW($X$15),1):OFFSET(CÁLCULO!$BB$15,ROW($X41)-ROW($X$15),-1))),IF($C41=0,0,ROUND(SomaAgrup,15-13*$AF$11)))</f>
        <v>0</v>
      </c>
      <c r="Y41" s="156" t="s">
        <v>245</v>
      </c>
      <c r="Z41" t="str">
        <f t="shared" ca="1" si="13"/>
        <v/>
      </c>
      <c r="AA41" s="157">
        <f ca="1">IF($C41="S",IF($Z41="CP",$X41,IF($Z41="RA",(($X41)*QCI!$AA$3),0)),SomaAgrup)</f>
        <v>0</v>
      </c>
      <c r="AB41" s="158">
        <f t="shared" ca="1" si="14"/>
        <v>0</v>
      </c>
      <c r="AC41" s="159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105" t="str">
        <f ca="1">IF(C41&lt;=CRONO.NivelExibicao,MAX($AD$15:OFFSET(AD41,-1,0))+IF($C41&lt;&gt;1,1,MAX(1,COUNTIF(QCI!$A$13:$A$15,OFFSET($E41,-1,0)))),"")</f>
        <v/>
      </c>
      <c r="AE41" s="115" t="str">
        <f ca="1">IF(AND($C41="S",ORÇAMENTO.CodBarra&lt;&gt;""),IF(ORÇAMENTO.Fonte="",ORÇAMENTO.CodBarra,CONCATENATE(ORÇAMENTO.Fonte," ",ORÇAMENTO.CodBarra)))</f>
        <v>SINAPI 94273</v>
      </c>
      <c r="AF41" s="160" t="str">
        <f ca="1">IF(ISERROR(INDIRECT(ORÇAMENTO.BancoRef)),"(abra o arquivo 'Referência "&amp;Excel_BuiltIn_Database&amp;".xlsm)",IF(OR($C41&lt;&gt;"S",ORÇAMENTO.CodBarra=""),"(Sem Código)",IF(ISERROR(MATCH($AE41,INDIRECT(ORÇAMENTO.BancoRef),0)),"(Código não identificado nas referências)",MATCH($AE41,INDIRECT(ORÇAMENTO.BancoRef),0))))</f>
        <v>(abra o arquivo 'Referência 12-2023.xlsm)</v>
      </c>
      <c r="AG41" s="579">
        <f ca="1">ROUND(IF(DESONERACAO="sim",REFERENCIA.Desonerado,REFERENCIA.NaoDesonerado),2)</f>
        <v>0</v>
      </c>
      <c r="AH41" s="580">
        <f t="shared" ca="1" si="15"/>
        <v>0.26750000000000002</v>
      </c>
      <c r="AJ41" s="582"/>
      <c r="AL41" s="612"/>
      <c r="AM41" s="431">
        <f t="shared" ca="1" si="0"/>
        <v>0</v>
      </c>
      <c r="AN41" s="654">
        <f t="shared" ca="1" si="16"/>
        <v>0</v>
      </c>
    </row>
    <row r="42" spans="1:40" x14ac:dyDescent="0.2">
      <c r="A42">
        <f t="shared" si="1"/>
        <v>2</v>
      </c>
      <c r="B42">
        <f t="shared" ca="1" si="2"/>
        <v>2</v>
      </c>
      <c r="C42">
        <f t="shared" ca="1" si="3"/>
        <v>2</v>
      </c>
      <c r="D42">
        <f t="shared" ca="1" si="4"/>
        <v>7</v>
      </c>
      <c r="E42">
        <f ca="1">IF($C42=1,OFFSET(E42,-1,0)+MAX(1,COUNTIF(QCI!$A$13:$A$15,OFFSET(ORÇAMENTO!E42,-1,0))),OFFSET(E42,-1,0))</f>
        <v>1</v>
      </c>
      <c r="F42">
        <f t="shared" ca="1" si="5"/>
        <v>7</v>
      </c>
      <c r="G42">
        <f t="shared" ca="1" si="6"/>
        <v>0</v>
      </c>
      <c r="H42">
        <f t="shared" ca="1" si="7"/>
        <v>0</v>
      </c>
      <c r="I42">
        <f t="shared" ca="1" si="8"/>
        <v>0</v>
      </c>
      <c r="J42">
        <f t="shared" ca="1" si="9"/>
        <v>16</v>
      </c>
      <c r="K42">
        <f ca="1">IF(OR($C42="S",$C42=0),0,MATCH(OFFSET($D42,0,$C42)+IF($C42&lt;&gt;1,1,COUNTIF(QCI!$A$13:$A$15,ORÇAMENTO!E42)),OFFSET($D42,1,$C42,ROW($C$58)-ROW($C42)),0))</f>
        <v>7</v>
      </c>
      <c r="L42" s="144" t="str">
        <f t="shared" ca="1" si="10"/>
        <v>F</v>
      </c>
      <c r="M42" s="145" t="s">
        <v>196</v>
      </c>
      <c r="N42" s="146" t="str">
        <f t="shared" ca="1" si="11"/>
        <v>Nível 2</v>
      </c>
      <c r="O42" s="147" t="str">
        <f t="shared" ca="1" si="12"/>
        <v>1.7.</v>
      </c>
      <c r="P42" s="148" t="s">
        <v>247</v>
      </c>
      <c r="Q42" s="149"/>
      <c r="R42" s="150" t="s">
        <v>472</v>
      </c>
      <c r="S42" s="151" t="str">
        <f ca="1">REFERENCIA.Unidade</f>
        <v>-</v>
      </c>
      <c r="T42" s="152">
        <f ca="1">OFFSET(CÁLCULO!H$15,ROW($T42)-ROW(T$15),0)</f>
        <v>0</v>
      </c>
      <c r="U42" s="153">
        <f t="shared" ca="1" si="17"/>
        <v>0</v>
      </c>
      <c r="V42" s="154" t="s">
        <v>156</v>
      </c>
      <c r="W42" s="152">
        <f ca="1">IF($C42="S",ROUND(IF(TIPOORCAMENTO="Proposto",ORÇAMENTO.CustoUnitario*(1+$AH42),ORÇAMENTO.PrecoUnitarioLicitado),15-13*$AF$10),0)</f>
        <v>0</v>
      </c>
      <c r="X42" s="155">
        <f ca="1">IF($C42="S",IF(Import.TipoArredondamento&lt;&gt;"TransfereGOV",VTOTAL1,SUM(OFFSET(CÁLCULO!$AI$15,ROW($X42)-ROW($X$15),1):OFFSET(CÁLCULO!$BB$15,ROW($X42)-ROW($X$15),-1))),IF($C42=0,0,ROUND(SomaAgrup,15-13*$AF$11)))</f>
        <v>0</v>
      </c>
      <c r="Y42" s="156" t="s">
        <v>245</v>
      </c>
      <c r="Z42" t="str">
        <f t="shared" ca="1" si="13"/>
        <v/>
      </c>
      <c r="AA42" s="157">
        <f ca="1">IF($C42="S",IF($Z42="CP",$X42,IF($Z42="RA",(($X42)*QCI!$AA$3),0)),SomaAgrup)</f>
        <v>0</v>
      </c>
      <c r="AB42" s="158">
        <f t="shared" ca="1" si="14"/>
        <v>0</v>
      </c>
      <c r="AC42" s="159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105">
        <f ca="1">IF(C42&lt;=CRONO.NivelExibicao,MAX($AD$15:OFFSET(AD42,-1,0))+IF($C42&lt;&gt;1,1,MAX(1,COUNTIF(QCI!$A$13:$A$15,OFFSET($E42,-1,0)))),"")</f>
        <v>8</v>
      </c>
      <c r="AE42" s="115" t="b">
        <f ca="1">IF(AND($C42="S",ORÇAMENTO.CodBarra&lt;&gt;""),IF(ORÇAMENTO.Fonte="",ORÇAMENTO.CodBarra,CONCATENATE(ORÇAMENTO.Fonte," ",ORÇAMENTO.CodBarra)))</f>
        <v>0</v>
      </c>
      <c r="AF42" s="160" t="str">
        <f ca="1">IF(ISERROR(INDIRECT(ORÇAMENTO.BancoRef)),"(abra o arquivo 'Referência "&amp;Excel_BuiltIn_Database&amp;".xlsm)",IF(OR($C42&lt;&gt;"S",ORÇAMENTO.CodBarra=""),"(Sem Código)",IF(ISERROR(MATCH($AE42,INDIRECT(ORÇAMENTO.BancoRef),0)),"(Código não identificado nas referências)",MATCH($AE42,INDIRECT(ORÇAMENTO.BancoRef),0))))</f>
        <v>(abra o arquivo 'Referência 12-2023.xlsm)</v>
      </c>
      <c r="AG42" s="579">
        <f ca="1">ROUND(IF(DESONERACAO="sim",REFERENCIA.Desonerado,REFERENCIA.NaoDesonerado),2)</f>
        <v>0</v>
      </c>
      <c r="AH42" s="580">
        <f t="shared" ca="1" si="15"/>
        <v>0.26750000000000002</v>
      </c>
      <c r="AJ42" s="582"/>
      <c r="AL42" s="612"/>
      <c r="AM42" s="431">
        <f t="shared" ca="1" si="0"/>
        <v>0</v>
      </c>
      <c r="AN42" s="654">
        <f t="shared" ca="1" si="16"/>
        <v>0</v>
      </c>
    </row>
    <row r="43" spans="1:40" x14ac:dyDescent="0.2">
      <c r="A43" t="str">
        <f t="shared" si="1"/>
        <v>S</v>
      </c>
      <c r="B43">
        <f t="shared" ca="1" si="2"/>
        <v>2</v>
      </c>
      <c r="C43" t="str">
        <f t="shared" ca="1" si="3"/>
        <v>S</v>
      </c>
      <c r="D43">
        <f t="shared" ca="1" si="4"/>
        <v>0</v>
      </c>
      <c r="E43">
        <f ca="1">IF($C43=1,OFFSET(E43,-1,0)+MAX(1,COUNTIF(QCI!$A$13:$A$15,OFFSET(ORÇAMENTO!E43,-1,0))),OFFSET(E43,-1,0))</f>
        <v>1</v>
      </c>
      <c r="F43">
        <f t="shared" ca="1" si="5"/>
        <v>7</v>
      </c>
      <c r="G43">
        <f t="shared" ca="1" si="6"/>
        <v>0</v>
      </c>
      <c r="H43">
        <f t="shared" ca="1" si="7"/>
        <v>0</v>
      </c>
      <c r="I43">
        <f t="shared" ca="1" si="8"/>
        <v>0</v>
      </c>
      <c r="J43">
        <f t="shared" ca="1" si="9"/>
        <v>0</v>
      </c>
      <c r="K43">
        <f ca="1">IF(OR($C43="S",$C43=0),0,MATCH(OFFSET($D43,0,$C43)+IF($C43&lt;&gt;1,1,COUNTIF(QCI!$A$13:$A$15,ORÇAMENTO!E43)),OFFSET($D43,1,$C43,ROW($C$58)-ROW($C43)),0))</f>
        <v>0</v>
      </c>
      <c r="L43" s="144" t="str">
        <f t="shared" ca="1" si="10"/>
        <v/>
      </c>
      <c r="M43" s="145" t="s">
        <v>199</v>
      </c>
      <c r="N43" s="146" t="str">
        <f t="shared" ca="1" si="11"/>
        <v>Serviço</v>
      </c>
      <c r="O43" s="147" t="str">
        <f t="shared" ca="1" si="12"/>
        <v>-</v>
      </c>
      <c r="P43" s="148" t="s">
        <v>247</v>
      </c>
      <c r="Q43" s="149" t="s">
        <v>484</v>
      </c>
      <c r="R43" s="150" t="str">
        <f ca="1">IF($C43="S",REFERENCIA.Descricao,"(digite a descrição aqui)")</f>
        <v>(abra o arquivo 'Referência 12-2023.xlsm)</v>
      </c>
      <c r="S43" s="151" t="str">
        <f ca="1">REFERENCIA.Unidade</f>
        <v>-</v>
      </c>
      <c r="T43" s="152">
        <f ca="1">OFFSET(CÁLCULO!H$15,ROW($T43)-ROW(T$15),0)</f>
        <v>812.84999999999991</v>
      </c>
      <c r="U43" s="153">
        <f t="shared" ca="1" si="17"/>
        <v>0</v>
      </c>
      <c r="V43" s="154" t="s">
        <v>156</v>
      </c>
      <c r="W43" s="152">
        <f ca="1">IF($C43="S",ROUND(IF(TIPOORCAMENTO="Proposto",ORÇAMENTO.CustoUnitario*(1+$AH43),ORÇAMENTO.PrecoUnitarioLicitado),15-13*$AF$10),0)</f>
        <v>0</v>
      </c>
      <c r="X43" s="155">
        <f ca="1">IF($C43="S",IF(Import.TipoArredondamento&lt;&gt;"TransfereGOV",VTOTAL1,SUM(OFFSET(CÁLCULO!$AI$15,ROW($X43)-ROW($X$15),1):OFFSET(CÁLCULO!$BB$15,ROW($X43)-ROW($X$15),-1))),IF($C43=0,0,ROUND(SomaAgrup,15-13*$AF$11)))</f>
        <v>0</v>
      </c>
      <c r="Y43" s="156" t="s">
        <v>245</v>
      </c>
      <c r="Z43" t="str">
        <f t="shared" ca="1" si="13"/>
        <v/>
      </c>
      <c r="AA43" s="157">
        <f ca="1">IF($C43="S",IF($Z43="CP",$X43,IF($Z43="RA",(($X43)*QCI!$AA$3),0)),SomaAgrup)</f>
        <v>0</v>
      </c>
      <c r="AB43" s="158">
        <f t="shared" ca="1" si="14"/>
        <v>0</v>
      </c>
      <c r="AC43" s="159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105" t="str">
        <f ca="1">IF(C43&lt;=CRONO.NivelExibicao,MAX($AD$15:OFFSET(AD43,-1,0))+IF($C43&lt;&gt;1,1,MAX(1,COUNTIF(QCI!$A$13:$A$15,OFFSET($E43,-1,0)))),"")</f>
        <v/>
      </c>
      <c r="AE43" s="115" t="str">
        <f ca="1">IF(AND($C43="S",ORÇAMENTO.CodBarra&lt;&gt;""),IF(ORÇAMENTO.Fonte="",ORÇAMENTO.CodBarra,CONCATENATE(ORÇAMENTO.Fonte," ",ORÇAMENTO.CodBarra)))</f>
        <v>SINAPI 104737</v>
      </c>
      <c r="AF43" s="160" t="str">
        <f ca="1">IF(ISERROR(INDIRECT(ORÇAMENTO.BancoRef)),"(abra o arquivo 'Referência "&amp;Excel_BuiltIn_Database&amp;".xlsm)",IF(OR($C43&lt;&gt;"S",ORÇAMENTO.CodBarra=""),"(Sem Código)",IF(ISERROR(MATCH($AE43,INDIRECT(ORÇAMENTO.BancoRef),0)),"(Código não identificado nas referências)",MATCH($AE43,INDIRECT(ORÇAMENTO.BancoRef),0))))</f>
        <v>(abra o arquivo 'Referência 12-2023.xlsm)</v>
      </c>
      <c r="AG43" s="579">
        <f ca="1">ROUND(IF(DESONERACAO="sim",REFERENCIA.Desonerado,REFERENCIA.NaoDesonerado),2)</f>
        <v>0</v>
      </c>
      <c r="AH43" s="580">
        <f t="shared" ca="1" si="15"/>
        <v>0.26750000000000002</v>
      </c>
      <c r="AJ43" s="582"/>
      <c r="AL43" s="612"/>
      <c r="AM43" s="431">
        <f t="shared" ca="1" si="0"/>
        <v>0</v>
      </c>
      <c r="AN43" s="654">
        <f t="shared" ca="1" si="16"/>
        <v>0</v>
      </c>
    </row>
    <row r="44" spans="1:40" x14ac:dyDescent="0.2">
      <c r="A44" t="str">
        <f t="shared" si="1"/>
        <v>S</v>
      </c>
      <c r="B44">
        <f t="shared" ca="1" si="2"/>
        <v>2</v>
      </c>
      <c r="C44" t="str">
        <f t="shared" ca="1" si="3"/>
        <v>S</v>
      </c>
      <c r="D44">
        <f t="shared" ca="1" si="4"/>
        <v>0</v>
      </c>
      <c r="E44">
        <f ca="1">IF($C44=1,OFFSET(E44,-1,0)+MAX(1,COUNTIF(QCI!$A$13:$A$15,OFFSET(ORÇAMENTO!E44,-1,0))),OFFSET(E44,-1,0))</f>
        <v>1</v>
      </c>
      <c r="F44">
        <f t="shared" ca="1" si="5"/>
        <v>7</v>
      </c>
      <c r="G44">
        <f t="shared" ca="1" si="6"/>
        <v>0</v>
      </c>
      <c r="H44">
        <f t="shared" ca="1" si="7"/>
        <v>0</v>
      </c>
      <c r="I44">
        <f t="shared" ca="1" si="8"/>
        <v>0</v>
      </c>
      <c r="J44">
        <f t="shared" ca="1" si="9"/>
        <v>0</v>
      </c>
      <c r="K44">
        <f ca="1">IF(OR($C44="S",$C44=0),0,MATCH(OFFSET($D44,0,$C44)+IF($C44&lt;&gt;1,1,COUNTIF(QCI!$A$13:$A$15,ORÇAMENTO!E44)),OFFSET($D44,1,$C44,ROW($C$58)-ROW($C44)),0))</f>
        <v>0</v>
      </c>
      <c r="L44" s="144" t="str">
        <f t="shared" ca="1" si="10"/>
        <v/>
      </c>
      <c r="M44" s="145" t="s">
        <v>199</v>
      </c>
      <c r="N44" s="146" t="str">
        <f t="shared" ca="1" si="11"/>
        <v>Serviço</v>
      </c>
      <c r="O44" s="147" t="str">
        <f t="shared" ca="1" si="12"/>
        <v>-</v>
      </c>
      <c r="P44" s="148" t="s">
        <v>247</v>
      </c>
      <c r="Q44" s="149" t="s">
        <v>480</v>
      </c>
      <c r="R44" s="150" t="str">
        <f ca="1">IF($C44="S",REFERENCIA.Descricao,"(digite a descrição aqui)")</f>
        <v>(abra o arquivo 'Referência 12-2023.xlsm)</v>
      </c>
      <c r="S44" s="151" t="str">
        <f ca="1">REFERENCIA.Unidade</f>
        <v>-</v>
      </c>
      <c r="T44" s="152">
        <f ca="1">OFFSET(CÁLCULO!H$15,ROW($T44)-ROW(T$15),0)</f>
        <v>609.62</v>
      </c>
      <c r="U44" s="153">
        <f t="shared" ca="1" si="17"/>
        <v>0</v>
      </c>
      <c r="V44" s="154" t="s">
        <v>156</v>
      </c>
      <c r="W44" s="152">
        <f ca="1">IF($C44="S",ROUND(IF(TIPOORCAMENTO="Proposto",ORÇAMENTO.CustoUnitario*(1+$AH44),ORÇAMENTO.PrecoUnitarioLicitado),15-13*$AF$10),0)</f>
        <v>0</v>
      </c>
      <c r="X44" s="155">
        <f ca="1">IF($C44="S",IF(Import.TipoArredondamento&lt;&gt;"TransfereGOV",VTOTAL1,SUM(OFFSET(CÁLCULO!$AI$15,ROW($X44)-ROW($X$15),1):OFFSET(CÁLCULO!$BB$15,ROW($X44)-ROW($X$15),-1))),IF($C44=0,0,ROUND(SomaAgrup,15-13*$AF$11)))</f>
        <v>0</v>
      </c>
      <c r="Y44" s="156" t="s">
        <v>245</v>
      </c>
      <c r="Z44" t="str">
        <f t="shared" ca="1" si="13"/>
        <v/>
      </c>
      <c r="AA44" s="157">
        <f ca="1">IF($C44="S",IF($Z44="CP",$X44,IF($Z44="RA",(($X44)*QCI!$AA$3),0)),SomaAgrup)</f>
        <v>0</v>
      </c>
      <c r="AB44" s="158">
        <f t="shared" ca="1" si="14"/>
        <v>0</v>
      </c>
      <c r="AC44" s="159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105" t="str">
        <f ca="1">IF(C44&lt;=CRONO.NivelExibicao,MAX($AD$15:OFFSET(AD44,-1,0))+IF($C44&lt;&gt;1,1,MAX(1,COUNTIF(QCI!$A$13:$A$15,OFFSET($E44,-1,0)))),"")</f>
        <v/>
      </c>
      <c r="AE44" s="115" t="str">
        <f ca="1">IF(AND($C44="S",ORÇAMENTO.CodBarra&lt;&gt;""),IF(ORÇAMENTO.Fonte="",ORÇAMENTO.CodBarra,CONCATENATE(ORÇAMENTO.Fonte," ",ORÇAMENTO.CodBarra)))</f>
        <v>SINAPI 94991</v>
      </c>
      <c r="AF44" s="160" t="str">
        <f ca="1">IF(ISERROR(INDIRECT(ORÇAMENTO.BancoRef)),"(abra o arquivo 'Referência "&amp;Excel_BuiltIn_Database&amp;".xlsm)",IF(OR($C44&lt;&gt;"S",ORÇAMENTO.CodBarra=""),"(Sem Código)",IF(ISERROR(MATCH($AE44,INDIRECT(ORÇAMENTO.BancoRef),0)),"(Código não identificado nas referências)",MATCH($AE44,INDIRECT(ORÇAMENTO.BancoRef),0))))</f>
        <v>(abra o arquivo 'Referência 12-2023.xlsm)</v>
      </c>
      <c r="AG44" s="579">
        <f ca="1">ROUND(IF(DESONERACAO="sim",REFERENCIA.Desonerado,REFERENCIA.NaoDesonerado),2)</f>
        <v>0</v>
      </c>
      <c r="AH44" s="580">
        <f t="shared" ca="1" si="15"/>
        <v>0.26750000000000002</v>
      </c>
      <c r="AJ44" s="582"/>
      <c r="AL44" s="612"/>
      <c r="AM44" s="431">
        <f t="shared" ca="1" si="0"/>
        <v>0</v>
      </c>
      <c r="AN44" s="654">
        <f t="shared" ca="1" si="16"/>
        <v>0</v>
      </c>
    </row>
    <row r="45" spans="1:40" x14ac:dyDescent="0.2">
      <c r="A45" t="str">
        <f t="shared" si="1"/>
        <v>S</v>
      </c>
      <c r="B45">
        <f t="shared" ca="1" si="2"/>
        <v>2</v>
      </c>
      <c r="C45" t="str">
        <f t="shared" ca="1" si="3"/>
        <v>S</v>
      </c>
      <c r="D45">
        <f t="shared" ca="1" si="4"/>
        <v>0</v>
      </c>
      <c r="E45">
        <f ca="1">IF($C45=1,OFFSET(E45,-1,0)+MAX(1,COUNTIF(QCI!$A$13:$A$15,OFFSET(ORÇAMENTO!E45,-1,0))),OFFSET(E45,-1,0))</f>
        <v>1</v>
      </c>
      <c r="F45">
        <f t="shared" ca="1" si="5"/>
        <v>7</v>
      </c>
      <c r="G45">
        <f t="shared" ca="1" si="6"/>
        <v>0</v>
      </c>
      <c r="H45">
        <f t="shared" ca="1" si="7"/>
        <v>0</v>
      </c>
      <c r="I45">
        <f t="shared" ca="1" si="8"/>
        <v>0</v>
      </c>
      <c r="J45">
        <f t="shared" ca="1" si="9"/>
        <v>0</v>
      </c>
      <c r="K45">
        <f ca="1">IF(OR($C45="S",$C45=0),0,MATCH(OFFSET($D45,0,$C45)+IF($C45&lt;&gt;1,1,COUNTIF(QCI!$A$13:$A$15,ORÇAMENTO!E45)),OFFSET($D45,1,$C45,ROW($C$58)-ROW($C45)),0))</f>
        <v>0</v>
      </c>
      <c r="L45" s="144" t="str">
        <f t="shared" ca="1" si="10"/>
        <v/>
      </c>
      <c r="M45" s="145" t="s">
        <v>199</v>
      </c>
      <c r="N45" s="146" t="str">
        <f t="shared" ca="1" si="11"/>
        <v>Serviço</v>
      </c>
      <c r="O45" s="147" t="str">
        <f t="shared" ca="1" si="12"/>
        <v>-</v>
      </c>
      <c r="P45" s="148" t="s">
        <v>485</v>
      </c>
      <c r="Q45" s="149" t="s">
        <v>481</v>
      </c>
      <c r="R45" s="150" t="str">
        <f ca="1">IF($C45="S",REFERENCIA.Descricao,"(digite a descrição aqui)")</f>
        <v>(abra o arquivo 'Referência 12-2023.xlsm)</v>
      </c>
      <c r="S45" s="151" t="str">
        <f ca="1">REFERENCIA.Unidade</f>
        <v>-</v>
      </c>
      <c r="T45" s="152">
        <f ca="1">OFFSET(CÁLCULO!H$15,ROW($T45)-ROW(T$15),0)</f>
        <v>1693.43</v>
      </c>
      <c r="U45" s="153">
        <f t="shared" ca="1" si="17"/>
        <v>0</v>
      </c>
      <c r="V45" s="154" t="s">
        <v>156</v>
      </c>
      <c r="W45" s="152">
        <f ca="1">IF($C45="S",ROUND(IF(TIPOORCAMENTO="Proposto",ORÇAMENTO.CustoUnitario*(1+$AH45),ORÇAMENTO.PrecoUnitarioLicitado),15-13*$AF$10),0)</f>
        <v>0</v>
      </c>
      <c r="X45" s="155">
        <f ca="1">IF($C45="S",IF(Import.TipoArredondamento&lt;&gt;"TransfereGOV",VTOTAL1,SUM(OFFSET(CÁLCULO!$AI$15,ROW($X45)-ROW($X$15),1):OFFSET(CÁLCULO!$BB$15,ROW($X45)-ROW($X$15),-1))),IF($C45=0,0,ROUND(SomaAgrup,15-13*$AF$11)))</f>
        <v>0</v>
      </c>
      <c r="Y45" s="156" t="s">
        <v>245</v>
      </c>
      <c r="Z45" t="str">
        <f t="shared" ca="1" si="13"/>
        <v/>
      </c>
      <c r="AA45" s="157">
        <f ca="1">IF($C45="S",IF($Z45="CP",$X45,IF($Z45="RA",(($X45)*QCI!$AA$3),0)),SomaAgrup)</f>
        <v>0</v>
      </c>
      <c r="AB45" s="158">
        <f t="shared" ca="1" si="14"/>
        <v>0</v>
      </c>
      <c r="AC45" s="159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105" t="str">
        <f ca="1">IF(C45&lt;=CRONO.NivelExibicao,MAX($AD$15:OFFSET(AD45,-1,0))+IF($C45&lt;&gt;1,1,MAX(1,COUNTIF(QCI!$A$13:$A$15,OFFSET($E45,-1,0)))),"")</f>
        <v/>
      </c>
      <c r="AE45" s="115" t="str">
        <f ca="1">IF(AND($C45="S",ORÇAMENTO.CodBarra&lt;&gt;""),IF(ORÇAMENTO.Fonte="",ORÇAMENTO.CodBarra,CONCATENATE(ORÇAMENTO.Fonte," ",ORÇAMENTO.CodBarra)))</f>
        <v>SINAPI-I 38135</v>
      </c>
      <c r="AF45" s="160" t="str">
        <f ca="1">IF(ISERROR(INDIRECT(ORÇAMENTO.BancoRef)),"(abra o arquivo 'Referência "&amp;Excel_BuiltIn_Database&amp;".xlsm)",IF(OR($C45&lt;&gt;"S",ORÇAMENTO.CodBarra=""),"(Sem Código)",IF(ISERROR(MATCH($AE45,INDIRECT(ORÇAMENTO.BancoRef),0)),"(Código não identificado nas referências)",MATCH($AE45,INDIRECT(ORÇAMENTO.BancoRef),0))))</f>
        <v>(abra o arquivo 'Referência 12-2023.xlsm)</v>
      </c>
      <c r="AG45" s="579">
        <f ca="1">ROUND(IF(DESONERACAO="sim",REFERENCIA.Desonerado,REFERENCIA.NaoDesonerado),2)</f>
        <v>0</v>
      </c>
      <c r="AH45" s="580">
        <f t="shared" ca="1" si="15"/>
        <v>0.26750000000000002</v>
      </c>
      <c r="AJ45" s="582"/>
      <c r="AL45" s="612"/>
      <c r="AM45" s="431">
        <f t="shared" ca="1" si="0"/>
        <v>0</v>
      </c>
      <c r="AN45" s="654">
        <f t="shared" ca="1" si="16"/>
        <v>0</v>
      </c>
    </row>
    <row r="46" spans="1:40" x14ac:dyDescent="0.2">
      <c r="A46" t="str">
        <f t="shared" si="1"/>
        <v>S</v>
      </c>
      <c r="B46">
        <f t="shared" ca="1" si="2"/>
        <v>2</v>
      </c>
      <c r="C46" t="str">
        <f t="shared" ca="1" si="3"/>
        <v>S</v>
      </c>
      <c r="D46">
        <f t="shared" ca="1" si="4"/>
        <v>0</v>
      </c>
      <c r="E46">
        <f ca="1">IF($C46=1,OFFSET(E46,-1,0)+MAX(1,COUNTIF(QCI!$A$13:$A$15,OFFSET(ORÇAMENTO!E46,-1,0))),OFFSET(E46,-1,0))</f>
        <v>1</v>
      </c>
      <c r="F46">
        <f t="shared" ca="1" si="5"/>
        <v>7</v>
      </c>
      <c r="G46">
        <f t="shared" ca="1" si="6"/>
        <v>0</v>
      </c>
      <c r="H46">
        <f t="shared" ca="1" si="7"/>
        <v>0</v>
      </c>
      <c r="I46">
        <f t="shared" ca="1" si="8"/>
        <v>0</v>
      </c>
      <c r="J46">
        <f t="shared" ca="1" si="9"/>
        <v>0</v>
      </c>
      <c r="K46">
        <f ca="1">IF(OR($C46="S",$C46=0),0,MATCH(OFFSET($D46,0,$C46)+IF($C46&lt;&gt;1,1,COUNTIF(QCI!$A$13:$A$15,ORÇAMENTO!E46)),OFFSET($D46,1,$C46,ROW($C$58)-ROW($C46)),0))</f>
        <v>0</v>
      </c>
      <c r="L46" s="144" t="str">
        <f t="shared" ca="1" si="10"/>
        <v/>
      </c>
      <c r="M46" s="145" t="s">
        <v>199</v>
      </c>
      <c r="N46" s="146" t="str">
        <f t="shared" ca="1" si="11"/>
        <v>Serviço</v>
      </c>
      <c r="O46" s="147" t="str">
        <f t="shared" ca="1" si="12"/>
        <v>-</v>
      </c>
      <c r="P46" s="148" t="s">
        <v>247</v>
      </c>
      <c r="Q46" s="149" t="s">
        <v>482</v>
      </c>
      <c r="R46" s="150" t="str">
        <f ca="1">IF($C46="S",REFERENCIA.Descricao,"(digite a descrição aqui)")</f>
        <v>(abra o arquivo 'Referência 12-2023.xlsm)</v>
      </c>
      <c r="S46" s="151" t="str">
        <f ca="1">REFERENCIA.Unidade</f>
        <v>-</v>
      </c>
      <c r="T46" s="152">
        <f ca="1">OFFSET(CÁLCULO!H$15,ROW($T46)-ROW(T$15),0)</f>
        <v>761.4</v>
      </c>
      <c r="U46" s="153">
        <f t="shared" ca="1" si="17"/>
        <v>0</v>
      </c>
      <c r="V46" s="154" t="s">
        <v>156</v>
      </c>
      <c r="W46" s="152">
        <f ca="1">IF($C46="S",ROUND(IF(TIPOORCAMENTO="Proposto",ORÇAMENTO.CustoUnitario*(1+$AH46),ORÇAMENTO.PrecoUnitarioLicitado),15-13*$AF$10),0)</f>
        <v>0</v>
      </c>
      <c r="X46" s="155">
        <f ca="1">IF($C46="S",IF(Import.TipoArredondamento&lt;&gt;"TransfereGOV",VTOTAL1,SUM(OFFSET(CÁLCULO!$AI$15,ROW($X46)-ROW($X$15),1):OFFSET(CÁLCULO!$BB$15,ROW($X46)-ROW($X$15),-1))),IF($C46=0,0,ROUND(SomaAgrup,15-13*$AF$11)))</f>
        <v>0</v>
      </c>
      <c r="Y46" s="156" t="s">
        <v>245</v>
      </c>
      <c r="Z46" t="str">
        <f t="shared" ca="1" si="13"/>
        <v/>
      </c>
      <c r="AA46" s="157">
        <f ca="1">IF($C46="S",IF($Z46="CP",$X46,IF($Z46="RA",(($X46)*QCI!$AA$3),0)),SomaAgrup)</f>
        <v>0</v>
      </c>
      <c r="AB46" s="158">
        <f t="shared" ca="1" si="14"/>
        <v>0</v>
      </c>
      <c r="AC46" s="159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105" t="str">
        <f ca="1">IF(C46&lt;=CRONO.NivelExibicao,MAX($AD$15:OFFSET(AD46,-1,0))+IF($C46&lt;&gt;1,1,MAX(1,COUNTIF(QCI!$A$13:$A$15,OFFSET($E46,-1,0)))),"")</f>
        <v/>
      </c>
      <c r="AE46" s="115" t="str">
        <f ca="1">IF(AND($C46="S",ORÇAMENTO.CodBarra&lt;&gt;""),IF(ORÇAMENTO.Fonte="",ORÇAMENTO.CodBarra,CONCATENATE(ORÇAMENTO.Fonte," ",ORÇAMENTO.CodBarra)))</f>
        <v>SINAPI 102509</v>
      </c>
      <c r="AF46" s="160" t="str">
        <f ca="1">IF(ISERROR(INDIRECT(ORÇAMENTO.BancoRef)),"(abra o arquivo 'Referência "&amp;Excel_BuiltIn_Database&amp;".xlsm)",IF(OR($C46&lt;&gt;"S",ORÇAMENTO.CodBarra=""),"(Sem Código)",IF(ISERROR(MATCH($AE46,INDIRECT(ORÇAMENTO.BancoRef),0)),"(Código não identificado nas referências)",MATCH($AE46,INDIRECT(ORÇAMENTO.BancoRef),0))))</f>
        <v>(abra o arquivo 'Referência 12-2023.xlsm)</v>
      </c>
      <c r="AG46" s="579">
        <f ca="1">ROUND(IF(DESONERACAO="sim",REFERENCIA.Desonerado,REFERENCIA.NaoDesonerado),2)</f>
        <v>0</v>
      </c>
      <c r="AH46" s="580">
        <f t="shared" ca="1" si="15"/>
        <v>0.26750000000000002</v>
      </c>
      <c r="AJ46" s="582"/>
      <c r="AL46" s="612"/>
      <c r="AM46" s="431">
        <f t="shared" ca="1" si="0"/>
        <v>0</v>
      </c>
      <c r="AN46" s="654">
        <f t="shared" ca="1" si="16"/>
        <v>0</v>
      </c>
    </row>
    <row r="47" spans="1:40" x14ac:dyDescent="0.2">
      <c r="A47" t="str">
        <f t="shared" si="1"/>
        <v>S</v>
      </c>
      <c r="B47">
        <f t="shared" ca="1" si="2"/>
        <v>2</v>
      </c>
      <c r="C47" t="str">
        <f t="shared" ca="1" si="3"/>
        <v>S</v>
      </c>
      <c r="D47">
        <f t="shared" ca="1" si="4"/>
        <v>0</v>
      </c>
      <c r="E47">
        <f ca="1">IF($C47=1,OFFSET(E47,-1,0)+MAX(1,COUNTIF(QCI!$A$13:$A$15,OFFSET(ORÇAMENTO!E47,-1,0))),OFFSET(E47,-1,0))</f>
        <v>1</v>
      </c>
      <c r="F47">
        <f t="shared" ca="1" si="5"/>
        <v>7</v>
      </c>
      <c r="G47">
        <f t="shared" ca="1" si="6"/>
        <v>0</v>
      </c>
      <c r="H47">
        <f t="shared" ca="1" si="7"/>
        <v>0</v>
      </c>
      <c r="I47">
        <f t="shared" ca="1" si="8"/>
        <v>0</v>
      </c>
      <c r="J47">
        <f t="shared" ca="1" si="9"/>
        <v>0</v>
      </c>
      <c r="K47">
        <f ca="1">IF(OR($C47="S",$C47=0),0,MATCH(OFFSET($D47,0,$C47)+IF($C47&lt;&gt;1,1,COUNTIF(QCI!$A$13:$A$15,ORÇAMENTO!E47)),OFFSET($D47,1,$C47,ROW($C$58)-ROW($C47)),0))</f>
        <v>0</v>
      </c>
      <c r="L47" s="144" t="str">
        <f t="shared" ca="1" si="10"/>
        <v/>
      </c>
      <c r="M47" s="145" t="s">
        <v>199</v>
      </c>
      <c r="N47" s="146" t="str">
        <f t="shared" ca="1" si="11"/>
        <v>Serviço</v>
      </c>
      <c r="O47" s="147" t="str">
        <f t="shared" ca="1" si="12"/>
        <v>-</v>
      </c>
      <c r="P47" s="148" t="s">
        <v>459</v>
      </c>
      <c r="Q47" s="149" t="s">
        <v>483</v>
      </c>
      <c r="R47" s="150" t="str">
        <f ca="1">IF($C47="S",REFERENCIA.Descricao,"(digite a descrição aqui)")</f>
        <v>(abra o arquivo 'Referência 12-2023.xlsm)</v>
      </c>
      <c r="S47" s="151" t="str">
        <f ca="1">REFERENCIA.Unidade</f>
        <v>-</v>
      </c>
      <c r="T47" s="152">
        <f ca="1">OFFSET(CÁLCULO!H$15,ROW($T47)-ROW(T$15),0)</f>
        <v>30.779999999999998</v>
      </c>
      <c r="U47" s="153">
        <f t="shared" ca="1" si="17"/>
        <v>0</v>
      </c>
      <c r="V47" s="154" t="s">
        <v>156</v>
      </c>
      <c r="W47" s="152">
        <f ca="1">IF($C47="S",ROUND(IF(TIPOORCAMENTO="Proposto",ORÇAMENTO.CustoUnitario*(1+$AH47),ORÇAMENTO.PrecoUnitarioLicitado),15-13*$AF$10),0)</f>
        <v>0</v>
      </c>
      <c r="X47" s="155">
        <f ca="1">IF($C47="S",IF(Import.TipoArredondamento&lt;&gt;"TransfereGOV",VTOTAL1,SUM(OFFSET(CÁLCULO!$AI$15,ROW($X47)-ROW($X$15),1):OFFSET(CÁLCULO!$BB$15,ROW($X47)-ROW($X$15),-1))),IF($C47=0,0,ROUND(SomaAgrup,15-13*$AF$11)))</f>
        <v>0</v>
      </c>
      <c r="Y47" s="156" t="s">
        <v>245</v>
      </c>
      <c r="Z47" t="str">
        <f t="shared" ca="1" si="13"/>
        <v/>
      </c>
      <c r="AA47" s="157">
        <f ca="1">IF($C47="S",IF($Z47="CP",$X47,IF($Z47="RA",(($X47)*QCI!$AA$3),0)),SomaAgrup)</f>
        <v>0</v>
      </c>
      <c r="AB47" s="158">
        <f t="shared" ca="1" si="14"/>
        <v>0</v>
      </c>
      <c r="AC47" s="159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105" t="str">
        <f ca="1">IF(C47&lt;=CRONO.NivelExibicao,MAX($AD$15:OFFSET(AD47,-1,0))+IF($C47&lt;&gt;1,1,MAX(1,COUNTIF(QCI!$A$13:$A$15,OFFSET($E47,-1,0)))),"")</f>
        <v/>
      </c>
      <c r="AE47" s="115" t="str">
        <f ca="1">IF(AND($C47="S",ORÇAMENTO.CodBarra&lt;&gt;""),IF(ORÇAMENTO.Fonte="",ORÇAMENTO.CodBarra,CONCATENATE(ORÇAMENTO.Fonte," ",ORÇAMENTO.CodBarra)))</f>
        <v>SEINFRA RO-42980</v>
      </c>
      <c r="AF47" s="160" t="str">
        <f ca="1">IF(ISERROR(INDIRECT(ORÇAMENTO.BancoRef)),"(abra o arquivo 'Referência "&amp;Excel_BuiltIn_Database&amp;".xlsm)",IF(OR($C47&lt;&gt;"S",ORÇAMENTO.CodBarra=""),"(Sem Código)",IF(ISERROR(MATCH($AE47,INDIRECT(ORÇAMENTO.BancoRef),0)),"(Código não identificado nas referências)",MATCH($AE47,INDIRECT(ORÇAMENTO.BancoRef),0))))</f>
        <v>(abra o arquivo 'Referência 12-2023.xlsm)</v>
      </c>
      <c r="AG47" s="579">
        <f ca="1">ROUND(IF(DESONERACAO="sim",REFERENCIA.Desonerado,REFERENCIA.NaoDesonerado),2)</f>
        <v>0</v>
      </c>
      <c r="AH47" s="580">
        <f t="shared" ca="1" si="15"/>
        <v>0.26750000000000002</v>
      </c>
      <c r="AJ47" s="582"/>
      <c r="AL47" s="612"/>
      <c r="AM47" s="431">
        <f t="shared" ca="1" si="0"/>
        <v>0</v>
      </c>
      <c r="AN47" s="654">
        <f t="shared" ca="1" si="16"/>
        <v>0</v>
      </c>
    </row>
    <row r="48" spans="1:40" x14ac:dyDescent="0.2">
      <c r="A48" t="str">
        <f t="shared" si="1"/>
        <v>S</v>
      </c>
      <c r="B48">
        <f t="shared" ca="1" si="2"/>
        <v>2</v>
      </c>
      <c r="C48" t="str">
        <f t="shared" ca="1" si="3"/>
        <v>S</v>
      </c>
      <c r="D48">
        <f t="shared" ca="1" si="4"/>
        <v>0</v>
      </c>
      <c r="E48">
        <f ca="1">IF($C48=1,OFFSET(E48,-1,0)+MAX(1,COUNTIF(QCI!$A$13:$A$15,OFFSET(ORÇAMENTO!E48,-1,0))),OFFSET(E48,-1,0))</f>
        <v>1</v>
      </c>
      <c r="F48">
        <f t="shared" ca="1" si="5"/>
        <v>7</v>
      </c>
      <c r="G48">
        <f t="shared" ca="1" si="6"/>
        <v>0</v>
      </c>
      <c r="H48">
        <f t="shared" ca="1" si="7"/>
        <v>0</v>
      </c>
      <c r="I48">
        <f t="shared" ca="1" si="8"/>
        <v>0</v>
      </c>
      <c r="J48">
        <f t="shared" ca="1" si="9"/>
        <v>0</v>
      </c>
      <c r="K48">
        <f ca="1">IF(OR($C48="S",$C48=0),0,MATCH(OFFSET($D48,0,$C48)+IF($C48&lt;&gt;1,1,COUNTIF(QCI!$A$13:$A$15,ORÇAMENTO!E48)),OFFSET($D48,1,$C48,ROW($C$58)-ROW($C48)),0))</f>
        <v>0</v>
      </c>
      <c r="L48" s="144" t="str">
        <f t="shared" ca="1" si="10"/>
        <v/>
      </c>
      <c r="M48" s="145" t="s">
        <v>199</v>
      </c>
      <c r="N48" s="146" t="str">
        <f t="shared" ca="1" si="11"/>
        <v>Serviço</v>
      </c>
      <c r="O48" s="147" t="str">
        <f t="shared" ca="1" si="12"/>
        <v>-</v>
      </c>
      <c r="P48" s="148" t="s">
        <v>459</v>
      </c>
      <c r="Q48" s="149" t="s">
        <v>505</v>
      </c>
      <c r="R48" s="150" t="str">
        <f ca="1">IF($C48="S",REFERENCIA.Descricao,"(digite a descrição aqui)")</f>
        <v>(abra o arquivo 'Referência 12-2023.xlsm)</v>
      </c>
      <c r="S48" s="151" t="str">
        <f ca="1">REFERENCIA.Unidade</f>
        <v>-</v>
      </c>
      <c r="T48" s="152">
        <f ca="1">OFFSET(CÁLCULO!H$15,ROW($T48)-ROW(T$15),0)</f>
        <v>5.5200000000000014</v>
      </c>
      <c r="U48" s="153">
        <f t="shared" ca="1" si="17"/>
        <v>0</v>
      </c>
      <c r="V48" s="154" t="s">
        <v>156</v>
      </c>
      <c r="W48" s="152">
        <f ca="1">IF($C48="S",ROUND(IF(TIPOORCAMENTO="Proposto",ORÇAMENTO.CustoUnitario*(1+$AH48),ORÇAMENTO.PrecoUnitarioLicitado),15-13*$AF$10),0)</f>
        <v>0</v>
      </c>
      <c r="X48" s="155">
        <f ca="1">IF($C48="S",IF(Import.TipoArredondamento&lt;&gt;"TransfereGOV",VTOTAL1,SUM(OFFSET(CÁLCULO!$AI$15,ROW($X48)-ROW($X$15),1):OFFSET(CÁLCULO!$BB$15,ROW($X48)-ROW($X$15),-1))),IF($C48=0,0,ROUND(SomaAgrup,15-13*$AF$11)))</f>
        <v>0</v>
      </c>
      <c r="Y48" s="156" t="s">
        <v>245</v>
      </c>
      <c r="Z48" t="str">
        <f t="shared" ca="1" si="13"/>
        <v/>
      </c>
      <c r="AA48" s="157">
        <f ca="1">IF($C48="S",IF($Z48="CP",$X48,IF($Z48="RA",(($X48)*QCI!$AA$3),0)),SomaAgrup)</f>
        <v>0</v>
      </c>
      <c r="AB48" s="158">
        <f t="shared" ca="1" si="14"/>
        <v>0</v>
      </c>
      <c r="AC48" s="159" t="str">
        <f ca="1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 s="105" t="str">
        <f ca="1">IF(C48&lt;=CRONO.NivelExibicao,MAX($AD$15:OFFSET(AD48,-1,0))+IF($C48&lt;&gt;1,1,MAX(1,COUNTIF(QCI!$A$13:$A$15,OFFSET($E48,-1,0)))),"")</f>
        <v/>
      </c>
      <c r="AE48" s="115" t="str">
        <f ca="1">IF(AND($C48="S",ORÇAMENTO.CodBarra&lt;&gt;""),IF(ORÇAMENTO.Fonte="",ORÇAMENTO.CodBarra,CONCATENATE(ORÇAMENTO.Fonte," ",ORÇAMENTO.CodBarra)))</f>
        <v>SEINFRA RO-42981</v>
      </c>
      <c r="AF48" s="160" t="str">
        <f ca="1">IF(ISERROR(INDIRECT(ORÇAMENTO.BancoRef)),"(abra o arquivo 'Referência "&amp;Excel_BuiltIn_Database&amp;".xlsm)",IF(OR($C48&lt;&gt;"S",ORÇAMENTO.CodBarra=""),"(Sem Código)",IF(ISERROR(MATCH($AE48,INDIRECT(ORÇAMENTO.BancoRef),0)),"(Código não identificado nas referências)",MATCH($AE48,INDIRECT(ORÇAMENTO.BancoRef),0))))</f>
        <v>(abra o arquivo 'Referência 12-2023.xlsm)</v>
      </c>
      <c r="AG48" s="579">
        <f ca="1">ROUND(IF(DESONERACAO="sim",REFERENCIA.Desonerado,REFERENCIA.NaoDesonerado),2)</f>
        <v>0</v>
      </c>
      <c r="AH48" s="580">
        <f t="shared" ca="1" si="15"/>
        <v>0.26750000000000002</v>
      </c>
      <c r="AJ48" s="582"/>
      <c r="AL48" s="612"/>
      <c r="AM48" s="431">
        <f t="shared" ca="1" si="0"/>
        <v>0</v>
      </c>
      <c r="AN48" s="654">
        <f t="shared" ca="1" si="16"/>
        <v>0</v>
      </c>
    </row>
    <row r="49" spans="1:40" x14ac:dyDescent="0.2">
      <c r="A49">
        <f t="shared" si="1"/>
        <v>2</v>
      </c>
      <c r="B49">
        <f t="shared" ca="1" si="2"/>
        <v>2</v>
      </c>
      <c r="C49">
        <f t="shared" ca="1" si="3"/>
        <v>2</v>
      </c>
      <c r="D49">
        <f t="shared" ca="1" si="4"/>
        <v>9</v>
      </c>
      <c r="E49">
        <f ca="1">IF($C49=1,OFFSET(E49,-1,0)+MAX(1,COUNTIF(QCI!$A$13:$A$15,OFFSET(ORÇAMENTO!E49,-1,0))),OFFSET(E49,-1,0))</f>
        <v>1</v>
      </c>
      <c r="F49">
        <f t="shared" ca="1" si="5"/>
        <v>8</v>
      </c>
      <c r="G49">
        <f t="shared" ca="1" si="6"/>
        <v>0</v>
      </c>
      <c r="H49">
        <f t="shared" ca="1" si="7"/>
        <v>0</v>
      </c>
      <c r="I49">
        <f t="shared" ca="1" si="8"/>
        <v>0</v>
      </c>
      <c r="J49">
        <f t="shared" ca="1" si="9"/>
        <v>9</v>
      </c>
      <c r="K49" t="e">
        <f ca="1">IF(OR($C49="S",$C49=0),0,MATCH(OFFSET($D49,0,$C49)+IF($C49&lt;&gt;1,1,COUNTIF(QCI!$A$13:$A$15,ORÇAMENTO!E49)),OFFSET($D49,1,$C49,ROW($C$58)-ROW($C49)),0))</f>
        <v>#N/A</v>
      </c>
      <c r="L49" s="144" t="str">
        <f t="shared" ca="1" si="10"/>
        <v>F</v>
      </c>
      <c r="M49" s="145" t="s">
        <v>196</v>
      </c>
      <c r="N49" s="146" t="str">
        <f t="shared" ca="1" si="11"/>
        <v>Nível 2</v>
      </c>
      <c r="O49" s="147" t="str">
        <f t="shared" ca="1" si="12"/>
        <v>1.8.</v>
      </c>
      <c r="P49" s="148" t="s">
        <v>247</v>
      </c>
      <c r="Q49" s="149"/>
      <c r="R49" s="150" t="s">
        <v>507</v>
      </c>
      <c r="S49" s="151" t="str">
        <f ca="1">REFERENCIA.Unidade</f>
        <v>-</v>
      </c>
      <c r="T49" s="152">
        <f ca="1">OFFSET(CÁLCULO!H$15,ROW($T49)-ROW(T$15),0)</f>
        <v>0</v>
      </c>
      <c r="U49" s="153">
        <f t="shared" ca="1" si="17"/>
        <v>0</v>
      </c>
      <c r="V49" s="154" t="s">
        <v>156</v>
      </c>
      <c r="W49" s="152">
        <f ca="1">IF($C49="S",ROUND(IF(TIPOORCAMENTO="Proposto",ORÇAMENTO.CustoUnitario*(1+$AH49),ORÇAMENTO.PrecoUnitarioLicitado),15-13*$AF$10),0)</f>
        <v>0</v>
      </c>
      <c r="X49" s="155">
        <f ca="1">IF($C49="S",IF(Import.TipoArredondamento&lt;&gt;"TransfereGOV",VTOTAL1,SUM(OFFSET(CÁLCULO!$AI$15,ROW($X49)-ROW($X$15),1):OFFSET(CÁLCULO!$BB$15,ROW($X49)-ROW($X$15),-1))),IF($C49=0,0,ROUND(SomaAgrup,15-13*$AF$11)))</f>
        <v>0</v>
      </c>
      <c r="Y49" s="156" t="s">
        <v>245</v>
      </c>
      <c r="Z49" t="str">
        <f t="shared" ca="1" si="13"/>
        <v/>
      </c>
      <c r="AA49" s="157">
        <f ca="1">IF($C49="S",IF($Z49="CP",$X49,IF($Z49="RA",(($X49)*QCI!$AA$3),0)),SomaAgrup)</f>
        <v>0</v>
      </c>
      <c r="AB49" s="158">
        <f t="shared" ca="1" si="14"/>
        <v>0</v>
      </c>
      <c r="AC49" s="159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s="668">
        <f ca="1">IF(C49&lt;=CRONO.NivelExibicao,MAX($AD$15:OFFSET(AD49,-1,0))+IF($C49&lt;&gt;1,1,MAX(1,COUNTIF(QCI!$A$13:$A$15,OFFSET($E49,-1,0)))),"")</f>
        <v>9</v>
      </c>
      <c r="AE49" s="115" t="b">
        <f ca="1">IF(AND($C49="S",ORÇAMENTO.CodBarra&lt;&gt;""),IF(ORÇAMENTO.Fonte="",ORÇAMENTO.CodBarra,CONCATENATE(ORÇAMENTO.Fonte," ",ORÇAMENTO.CodBarra)))</f>
        <v>0</v>
      </c>
      <c r="AF49" s="160" t="str">
        <f ca="1">IF(ISERROR(INDIRECT(ORÇAMENTO.BancoRef)),"(abra o arquivo 'Referência "&amp;Excel_BuiltIn_Database&amp;".xlsm)",IF(OR($C49&lt;&gt;"S",ORÇAMENTO.CodBarra=""),"(Sem Código)",IF(ISERROR(MATCH($AE49,INDIRECT(ORÇAMENTO.BancoRef),0)),"(Código não identificado nas referências)",MATCH($AE49,INDIRECT(ORÇAMENTO.BancoRef),0))))</f>
        <v>(abra o arquivo 'Referência 12-2023.xlsm)</v>
      </c>
      <c r="AG49" s="579">
        <f ca="1">ROUND(IF(DESONERACAO="sim",REFERENCIA.Desonerado,REFERENCIA.NaoDesonerado),2)</f>
        <v>0</v>
      </c>
      <c r="AH49" s="580">
        <f t="shared" ca="1" si="15"/>
        <v>0.26750000000000002</v>
      </c>
      <c r="AJ49" s="582"/>
      <c r="AL49" s="612"/>
      <c r="AM49" s="431">
        <f t="shared" ca="1" si="0"/>
        <v>0</v>
      </c>
      <c r="AN49" s="654">
        <f t="shared" ca="1" si="16"/>
        <v>0</v>
      </c>
    </row>
    <row r="50" spans="1:40" x14ac:dyDescent="0.2">
      <c r="A50" t="str">
        <f t="shared" si="1"/>
        <v>S</v>
      </c>
      <c r="B50">
        <f t="shared" ca="1" si="2"/>
        <v>2</v>
      </c>
      <c r="C50" t="str">
        <f t="shared" ca="1" si="3"/>
        <v>S</v>
      </c>
      <c r="D50">
        <f t="shared" ca="1" si="4"/>
        <v>0</v>
      </c>
      <c r="E50">
        <f ca="1">IF($C50=1,OFFSET(E50,-1,0)+MAX(1,COUNTIF(QCI!$A$13:$A$15,OFFSET(ORÇAMENTO!E50,-1,0))),OFFSET(E50,-1,0))</f>
        <v>1</v>
      </c>
      <c r="F50">
        <f t="shared" ca="1" si="5"/>
        <v>8</v>
      </c>
      <c r="G50">
        <f t="shared" ca="1" si="6"/>
        <v>0</v>
      </c>
      <c r="H50">
        <f t="shared" ca="1" si="7"/>
        <v>0</v>
      </c>
      <c r="I50">
        <f t="shared" ca="1" si="8"/>
        <v>0</v>
      </c>
      <c r="J50">
        <f t="shared" ca="1" si="9"/>
        <v>0</v>
      </c>
      <c r="K50">
        <f ca="1">IF(OR($C50="S",$C50=0),0,MATCH(OFFSET($D50,0,$C50)+IF($C50&lt;&gt;1,1,COUNTIF(QCI!$A$13:$A$15,ORÇAMENTO!E50)),OFFSET($D50,1,$C50,ROW($C$58)-ROW($C50)),0))</f>
        <v>0</v>
      </c>
      <c r="L50" s="144" t="str">
        <f t="shared" ca="1" si="10"/>
        <v/>
      </c>
      <c r="M50" s="145" t="s">
        <v>199</v>
      </c>
      <c r="N50" s="146" t="str">
        <f t="shared" ca="1" si="11"/>
        <v>Serviço</v>
      </c>
      <c r="O50" s="147" t="str">
        <f t="shared" ca="1" si="12"/>
        <v>-</v>
      </c>
      <c r="P50" s="148" t="s">
        <v>247</v>
      </c>
      <c r="Q50" s="149" t="s">
        <v>508</v>
      </c>
      <c r="R50" s="150" t="str">
        <f ca="1">IF($C50="S",REFERENCIA.Descricao,"(digite a descrição aqui)")</f>
        <v>(abra o arquivo 'Referência 12-2023.xlsm)</v>
      </c>
      <c r="S50" s="151" t="str">
        <f ca="1">REFERENCIA.Unidade</f>
        <v>-</v>
      </c>
      <c r="T50" s="152">
        <f ca="1">OFFSET(CÁLCULO!H$15,ROW($T50)-ROW(T$15),0)</f>
        <v>1177.73</v>
      </c>
      <c r="U50" s="153">
        <f t="shared" ca="1" si="17"/>
        <v>0</v>
      </c>
      <c r="V50" s="154" t="s">
        <v>156</v>
      </c>
      <c r="W50" s="152">
        <f ca="1">IF($C50="S",ROUND(IF(TIPOORCAMENTO="Proposto",ORÇAMENTO.CustoUnitario*(1+$AH50),ORÇAMENTO.PrecoUnitarioLicitado),15-13*$AF$10),0)</f>
        <v>0</v>
      </c>
      <c r="X50" s="155">
        <f ca="1">IF($C50="S",IF(Import.TipoArredondamento&lt;&gt;"TransfereGOV",VTOTAL1,SUM(OFFSET(CÁLCULO!$AI$15,ROW($X50)-ROW($X$15),1):OFFSET(CÁLCULO!$BB$15,ROW($X50)-ROW($X$15),-1))),IF($C50=0,0,ROUND(SomaAgrup,15-13*$AF$11)))</f>
        <v>0</v>
      </c>
      <c r="Y50" s="156" t="s">
        <v>245</v>
      </c>
      <c r="Z50" t="str">
        <f t="shared" ca="1" si="13"/>
        <v/>
      </c>
      <c r="AA50" s="157">
        <f ca="1">IF($C50="S",IF($Z50="CP",$X50,IF($Z50="RA",(($X50)*QCI!$AA$3),0)),SomaAgrup)</f>
        <v>0</v>
      </c>
      <c r="AB50" s="158">
        <f t="shared" ca="1" si="14"/>
        <v>0</v>
      </c>
      <c r="AC50" s="159" t="str">
        <f ca="1">IF($N50="","",IF(ORÇAMENTO.Descricao="","DESCRIÇÃO",IF(AND($C50="S",ORÇAMENTO.Unidade=""),"UNIDADE",IF($X50&lt;0,"VALOR NEGATIVO",IF(OR(AND(TIPOORCAMENTO="Proposto",$AG50&lt;&gt;"",$AG50&gt;0,ORÇAMENTO.CustoUnitario&gt;$AG50),AND(TIPOORCAMENTO="LICITADO",ORÇAMENTO.PrecoUnitarioLicitado&gt;$AN50)),"ACIMA REF.","")))))</f>
        <v/>
      </c>
      <c r="AD50" s="668" t="str">
        <f ca="1">IF(C50&lt;=CRONO.NivelExibicao,MAX($AD$15:OFFSET(AD50,-1,0))+IF($C50&lt;&gt;1,1,MAX(1,COUNTIF(QCI!$A$13:$A$15,OFFSET($E50,-1,0)))),"")</f>
        <v/>
      </c>
      <c r="AE50" s="115" t="str">
        <f ca="1">IF(AND($C50="S",ORÇAMENTO.CodBarra&lt;&gt;""),IF(ORÇAMENTO.Fonte="",ORÇAMENTO.CodBarra,CONCATENATE(ORÇAMENTO.Fonte," ",ORÇAMENTO.CodBarra)))</f>
        <v>SINAPI 102283</v>
      </c>
      <c r="AF50" s="160" t="str">
        <f ca="1">IF(ISERROR(INDIRECT(ORÇAMENTO.BancoRef)),"(abra o arquivo 'Referência "&amp;Excel_BuiltIn_Database&amp;".xlsm)",IF(OR($C50&lt;&gt;"S",ORÇAMENTO.CodBarra=""),"(Sem Código)",IF(ISERROR(MATCH($AE50,INDIRECT(ORÇAMENTO.BancoRef),0)),"(Código não identificado nas referências)",MATCH($AE50,INDIRECT(ORÇAMENTO.BancoRef),0))))</f>
        <v>(abra o arquivo 'Referência 12-2023.xlsm)</v>
      </c>
      <c r="AG50" s="579">
        <f ca="1">ROUND(IF(DESONERACAO="sim",REFERENCIA.Desonerado,REFERENCIA.NaoDesonerado),2)</f>
        <v>0</v>
      </c>
      <c r="AH50" s="580">
        <f t="shared" ca="1" si="15"/>
        <v>0.26750000000000002</v>
      </c>
      <c r="AJ50" s="582"/>
      <c r="AL50" s="612"/>
      <c r="AM50" s="431">
        <f t="shared" ca="1" si="0"/>
        <v>0</v>
      </c>
      <c r="AN50" s="654">
        <f t="shared" ca="1" si="16"/>
        <v>0</v>
      </c>
    </row>
    <row r="51" spans="1:40" x14ac:dyDescent="0.2">
      <c r="A51" t="str">
        <f t="shared" si="1"/>
        <v>S</v>
      </c>
      <c r="B51">
        <f t="shared" ca="1" si="2"/>
        <v>2</v>
      </c>
      <c r="C51" t="str">
        <f t="shared" ca="1" si="3"/>
        <v>S</v>
      </c>
      <c r="D51">
        <f t="shared" ca="1" si="4"/>
        <v>0</v>
      </c>
      <c r="E51">
        <f ca="1">IF($C51=1,OFFSET(E51,-1,0)+MAX(1,COUNTIF(QCI!$A$13:$A$15,OFFSET(ORÇAMENTO!E51,-1,0))),OFFSET(E51,-1,0))</f>
        <v>1</v>
      </c>
      <c r="F51">
        <f t="shared" ca="1" si="5"/>
        <v>8</v>
      </c>
      <c r="G51">
        <f t="shared" ca="1" si="6"/>
        <v>0</v>
      </c>
      <c r="H51">
        <f t="shared" ca="1" si="7"/>
        <v>0</v>
      </c>
      <c r="I51">
        <f t="shared" ca="1" si="8"/>
        <v>0</v>
      </c>
      <c r="J51">
        <f t="shared" ca="1" si="9"/>
        <v>0</v>
      </c>
      <c r="K51">
        <f ca="1">IF(OR($C51="S",$C51=0),0,MATCH(OFFSET($D51,0,$C51)+IF($C51&lt;&gt;1,1,COUNTIF(QCI!$A$13:$A$15,ORÇAMENTO!E51)),OFFSET($D51,1,$C51,ROW($C$58)-ROW($C51)),0))</f>
        <v>0</v>
      </c>
      <c r="L51" s="144" t="str">
        <f t="shared" ca="1" si="10"/>
        <v/>
      </c>
      <c r="M51" s="145" t="s">
        <v>199</v>
      </c>
      <c r="N51" s="146" t="str">
        <f t="shared" ca="1" si="11"/>
        <v>Serviço</v>
      </c>
      <c r="O51" s="147" t="str">
        <f t="shared" ca="1" si="12"/>
        <v>-</v>
      </c>
      <c r="P51" s="148" t="s">
        <v>247</v>
      </c>
      <c r="Q51" s="149" t="s">
        <v>509</v>
      </c>
      <c r="R51" s="150" t="str">
        <f ca="1">IF($C51="S",REFERENCIA.Descricao,"(digite a descrição aqui)")</f>
        <v>(abra o arquivo 'Referência 12-2023.xlsm)</v>
      </c>
      <c r="S51" s="151" t="str">
        <f ca="1">REFERENCIA.Unidade</f>
        <v>-</v>
      </c>
      <c r="T51" s="152">
        <f ca="1">OFFSET(CÁLCULO!H$15,ROW($T51)-ROW(T$15),0)</f>
        <v>785.15</v>
      </c>
      <c r="U51" s="153">
        <f t="shared" ca="1" si="17"/>
        <v>0</v>
      </c>
      <c r="V51" s="154" t="s">
        <v>156</v>
      </c>
      <c r="W51" s="152">
        <f ca="1">IF($C51="S",ROUND(IF(TIPOORCAMENTO="Proposto",ORÇAMENTO.CustoUnitario*(1+$AH51),ORÇAMENTO.PrecoUnitarioLicitado),15-13*$AF$10),0)</f>
        <v>0</v>
      </c>
      <c r="X51" s="155">
        <f ca="1">IF($C51="S",IF(Import.TipoArredondamento&lt;&gt;"TransfereGOV",VTOTAL1,SUM(OFFSET(CÁLCULO!$AI$15,ROW($X51)-ROW($X$15),1):OFFSET(CÁLCULO!$BB$15,ROW($X51)-ROW($X$15),-1))),IF($C51=0,0,ROUND(SomaAgrup,15-13*$AF$11)))</f>
        <v>0</v>
      </c>
      <c r="Y51" s="156" t="s">
        <v>245</v>
      </c>
      <c r="Z51" t="str">
        <f t="shared" ca="1" si="13"/>
        <v/>
      </c>
      <c r="AA51" s="157">
        <f ca="1">IF($C51="S",IF($Z51="CP",$X51,IF($Z51="RA",(($X51)*QCI!$AA$3),0)),SomaAgrup)</f>
        <v>0</v>
      </c>
      <c r="AB51" s="158">
        <f t="shared" ca="1" si="14"/>
        <v>0</v>
      </c>
      <c r="AC51" s="159" t="str">
        <f ca="1">IF($N51="","",IF(ORÇAMENTO.Descricao="","DESCRIÇÃO",IF(AND($C51="S",ORÇAMENTO.Unidade=""),"UNIDADE",IF($X51&lt;0,"VALOR NEGATIVO",IF(OR(AND(TIPOORCAMENTO="Proposto",$AG51&lt;&gt;"",$AG51&gt;0,ORÇAMENTO.CustoUnitario&gt;$AG51),AND(TIPOORCAMENTO="LICITADO",ORÇAMENTO.PrecoUnitarioLicitado&gt;$AN51)),"ACIMA REF.","")))))</f>
        <v/>
      </c>
      <c r="AD51" s="668" t="str">
        <f ca="1">IF(C51&lt;=CRONO.NivelExibicao,MAX($AD$15:OFFSET(AD51,-1,0))+IF($C51&lt;&gt;1,1,MAX(1,COUNTIF(QCI!$A$13:$A$15,OFFSET($E51,-1,0)))),"")</f>
        <v/>
      </c>
      <c r="AE51" s="115" t="str">
        <f ca="1">IF(AND($C51="S",ORÇAMENTO.CodBarra&lt;&gt;""),IF(ORÇAMENTO.Fonte="",ORÇAMENTO.CodBarra,CONCATENATE(ORÇAMENTO.Fonte," ",ORÇAMENTO.CodBarra)))</f>
        <v>SINAPI 101617</v>
      </c>
      <c r="AF51" s="160" t="str">
        <f ca="1">IF(ISERROR(INDIRECT(ORÇAMENTO.BancoRef)),"(abra o arquivo 'Referência "&amp;Excel_BuiltIn_Database&amp;".xlsm)",IF(OR($C51&lt;&gt;"S",ORÇAMENTO.CodBarra=""),"(Sem Código)",IF(ISERROR(MATCH($AE51,INDIRECT(ORÇAMENTO.BancoRef),0)),"(Código não identificado nas referências)",MATCH($AE51,INDIRECT(ORÇAMENTO.BancoRef),0))))</f>
        <v>(abra o arquivo 'Referência 12-2023.xlsm)</v>
      </c>
      <c r="AG51" s="579">
        <f ca="1">ROUND(IF(DESONERACAO="sim",REFERENCIA.Desonerado,REFERENCIA.NaoDesonerado),2)</f>
        <v>0</v>
      </c>
      <c r="AH51" s="580">
        <f t="shared" ca="1" si="15"/>
        <v>0.26750000000000002</v>
      </c>
      <c r="AJ51" s="582"/>
      <c r="AL51" s="612"/>
      <c r="AM51" s="431">
        <f t="shared" ca="1" si="0"/>
        <v>0</v>
      </c>
      <c r="AN51" s="654">
        <f t="shared" ca="1" si="16"/>
        <v>0</v>
      </c>
    </row>
    <row r="52" spans="1:40" x14ac:dyDescent="0.2">
      <c r="A52" t="str">
        <f t="shared" si="1"/>
        <v>S</v>
      </c>
      <c r="B52">
        <f t="shared" ca="1" si="2"/>
        <v>2</v>
      </c>
      <c r="C52" t="str">
        <f t="shared" ca="1" si="3"/>
        <v>S</v>
      </c>
      <c r="D52">
        <f t="shared" ca="1" si="4"/>
        <v>0</v>
      </c>
      <c r="E52">
        <f ca="1">IF($C52=1,OFFSET(E52,-1,0)+MAX(1,COUNTIF(QCI!$A$13:$A$15,OFFSET(ORÇAMENTO!E52,-1,0))),OFFSET(E52,-1,0))</f>
        <v>1</v>
      </c>
      <c r="F52">
        <f t="shared" ca="1" si="5"/>
        <v>8</v>
      </c>
      <c r="G52">
        <f t="shared" ca="1" si="6"/>
        <v>0</v>
      </c>
      <c r="H52">
        <f t="shared" ca="1" si="7"/>
        <v>0</v>
      </c>
      <c r="I52">
        <f t="shared" ca="1" si="8"/>
        <v>0</v>
      </c>
      <c r="J52">
        <f t="shared" ca="1" si="9"/>
        <v>0</v>
      </c>
      <c r="K52">
        <f ca="1">IF(OR($C52="S",$C52=0),0,MATCH(OFFSET($D52,0,$C52)+IF($C52&lt;&gt;1,1,COUNTIF(QCI!$A$13:$A$15,ORÇAMENTO!E52)),OFFSET($D52,1,$C52,ROW($C$58)-ROW($C52)),0))</f>
        <v>0</v>
      </c>
      <c r="L52" s="144" t="str">
        <f t="shared" ca="1" si="10"/>
        <v/>
      </c>
      <c r="M52" s="145" t="s">
        <v>199</v>
      </c>
      <c r="N52" s="146" t="str">
        <f t="shared" ca="1" si="11"/>
        <v>Serviço</v>
      </c>
      <c r="O52" s="147" t="str">
        <f t="shared" ca="1" si="12"/>
        <v>-</v>
      </c>
      <c r="P52" s="148" t="s">
        <v>247</v>
      </c>
      <c r="Q52" s="149" t="s">
        <v>510</v>
      </c>
      <c r="R52" s="150" t="str">
        <f ca="1">IF($C52="S",REFERENCIA.Descricao,"(digite a descrição aqui)")</f>
        <v>(abra o arquivo 'Referência 12-2023.xlsm)</v>
      </c>
      <c r="S52" s="151" t="str">
        <f ca="1">REFERENCIA.Unidade</f>
        <v>-</v>
      </c>
      <c r="T52" s="152">
        <f ca="1">OFFSET(CÁLCULO!H$15,ROW($T52)-ROW(T$15),0)</f>
        <v>942.18</v>
      </c>
      <c r="U52" s="153">
        <f t="shared" ca="1" si="17"/>
        <v>0</v>
      </c>
      <c r="V52" s="154" t="s">
        <v>156</v>
      </c>
      <c r="W52" s="152">
        <f ca="1">IF($C52="S",ROUND(IF(TIPOORCAMENTO="Proposto",ORÇAMENTO.CustoUnitario*(1+$AH52),ORÇAMENTO.PrecoUnitarioLicitado),15-13*$AF$10),0)</f>
        <v>0</v>
      </c>
      <c r="X52" s="155">
        <f ca="1">IF($C52="S",IF(Import.TipoArredondamento&lt;&gt;"TransfereGOV",VTOTAL1,SUM(OFFSET(CÁLCULO!$AI$15,ROW($X52)-ROW($X$15),1):OFFSET(CÁLCULO!$BB$15,ROW($X52)-ROW($X$15),-1))),IF($C52=0,0,ROUND(SomaAgrup,15-13*$AF$11)))</f>
        <v>0</v>
      </c>
      <c r="Y52" s="156" t="s">
        <v>245</v>
      </c>
      <c r="Z52" t="str">
        <f t="shared" ca="1" si="13"/>
        <v/>
      </c>
      <c r="AA52" s="157">
        <f ca="1">IF($C52="S",IF($Z52="CP",$X52,IF($Z52="RA",(($X52)*QCI!$AA$3),0)),SomaAgrup)</f>
        <v>0</v>
      </c>
      <c r="AB52" s="158">
        <f t="shared" ca="1" si="14"/>
        <v>0</v>
      </c>
      <c r="AC52" s="159" t="str">
        <f ca="1">IF($N52="","",IF(ORÇAMENTO.Descricao="","DESCRIÇÃO",IF(AND($C52="S",ORÇAMENTO.Unidade=""),"UNIDADE",IF($X52&lt;0,"VALOR NEGATIVO",IF(OR(AND(TIPOORCAMENTO="Proposto",$AG52&lt;&gt;"",$AG52&gt;0,ORÇAMENTO.CustoUnitario&gt;$AG52),AND(TIPOORCAMENTO="LICITADO",ORÇAMENTO.PrecoUnitarioLicitado&gt;$AN52)),"ACIMA REF.","")))))</f>
        <v/>
      </c>
      <c r="AD52" s="668" t="str">
        <f ca="1">IF(C52&lt;=CRONO.NivelExibicao,MAX($AD$15:OFFSET(AD52,-1,0))+IF($C52&lt;&gt;1,1,MAX(1,COUNTIF(QCI!$A$13:$A$15,OFFSET($E52,-1,0)))),"")</f>
        <v/>
      </c>
      <c r="AE52" s="115" t="str">
        <f ca="1">IF(AND($C52="S",ORÇAMENTO.CodBarra&lt;&gt;""),IF(ORÇAMENTO.Fonte="",ORÇAMENTO.CodBarra,CONCATENATE(ORÇAMENTO.Fonte," ",ORÇAMENTO.CodBarra)))</f>
        <v>SINAPI 101572</v>
      </c>
      <c r="AF52" s="160" t="str">
        <f ca="1">IF(ISERROR(INDIRECT(ORÇAMENTO.BancoRef)),"(abra o arquivo 'Referência "&amp;Excel_BuiltIn_Database&amp;".xlsm)",IF(OR($C52&lt;&gt;"S",ORÇAMENTO.CodBarra=""),"(Sem Código)",IF(ISERROR(MATCH($AE52,INDIRECT(ORÇAMENTO.BancoRef),0)),"(Código não identificado nas referências)",MATCH($AE52,INDIRECT(ORÇAMENTO.BancoRef),0))))</f>
        <v>(abra o arquivo 'Referência 12-2023.xlsm)</v>
      </c>
      <c r="AG52" s="579">
        <f ca="1">ROUND(IF(DESONERACAO="sim",REFERENCIA.Desonerado,REFERENCIA.NaoDesonerado),2)</f>
        <v>0</v>
      </c>
      <c r="AH52" s="580">
        <f t="shared" ca="1" si="15"/>
        <v>0.26750000000000002</v>
      </c>
      <c r="AJ52" s="582"/>
      <c r="AL52" s="612"/>
      <c r="AM52" s="431">
        <f t="shared" ca="1" si="0"/>
        <v>0</v>
      </c>
      <c r="AN52" s="654">
        <f t="shared" ca="1" si="16"/>
        <v>0</v>
      </c>
    </row>
    <row r="53" spans="1:40" x14ac:dyDescent="0.2">
      <c r="A53" t="str">
        <f t="shared" si="1"/>
        <v>S</v>
      </c>
      <c r="B53">
        <f t="shared" ca="1" si="2"/>
        <v>2</v>
      </c>
      <c r="C53" t="str">
        <f t="shared" ca="1" si="3"/>
        <v>S</v>
      </c>
      <c r="D53">
        <f t="shared" ca="1" si="4"/>
        <v>0</v>
      </c>
      <c r="E53">
        <f ca="1">IF($C53=1,OFFSET(E53,-1,0)+MAX(1,COUNTIF(QCI!$A$13:$A$15,OFFSET(ORÇAMENTO!E53,-1,0))),OFFSET(E53,-1,0))</f>
        <v>1</v>
      </c>
      <c r="F53">
        <f t="shared" ca="1" si="5"/>
        <v>8</v>
      </c>
      <c r="G53">
        <f t="shared" ca="1" si="6"/>
        <v>0</v>
      </c>
      <c r="H53">
        <f t="shared" ca="1" si="7"/>
        <v>0</v>
      </c>
      <c r="I53">
        <f t="shared" ca="1" si="8"/>
        <v>0</v>
      </c>
      <c r="J53">
        <f t="shared" ca="1" si="9"/>
        <v>0</v>
      </c>
      <c r="K53">
        <f ca="1">IF(OR($C53="S",$C53=0),0,MATCH(OFFSET($D53,0,$C53)+IF($C53&lt;&gt;1,1,COUNTIF(QCI!$A$13:$A$15,ORÇAMENTO!E53)),OFFSET($D53,1,$C53,ROW($C$58)-ROW($C53)),0))</f>
        <v>0</v>
      </c>
      <c r="L53" s="144" t="str">
        <f t="shared" ca="1" si="10"/>
        <v/>
      </c>
      <c r="M53" s="145" t="s">
        <v>199</v>
      </c>
      <c r="N53" s="146" t="str">
        <f t="shared" ca="1" si="11"/>
        <v>Serviço</v>
      </c>
      <c r="O53" s="147" t="str">
        <f t="shared" ca="1" si="12"/>
        <v>-</v>
      </c>
      <c r="P53" s="148" t="s">
        <v>247</v>
      </c>
      <c r="Q53" s="149" t="s">
        <v>511</v>
      </c>
      <c r="R53" s="150" t="str">
        <f ca="1">IF($C53="S",REFERENCIA.Descricao,"(digite a descrição aqui)")</f>
        <v>(abra o arquivo 'Referência 12-2023.xlsm)</v>
      </c>
      <c r="S53" s="151" t="str">
        <f ca="1">REFERENCIA.Unidade</f>
        <v>-</v>
      </c>
      <c r="T53" s="152">
        <f ca="1">OFFSET(CÁLCULO!H$15,ROW($T53)-ROW(T$15),0)</f>
        <v>989.29</v>
      </c>
      <c r="U53" s="153">
        <f t="shared" ca="1" si="17"/>
        <v>0</v>
      </c>
      <c r="V53" s="154" t="s">
        <v>156</v>
      </c>
      <c r="W53" s="152">
        <f ca="1">IF($C53="S",ROUND(IF(TIPOORCAMENTO="Proposto",ORÇAMENTO.CustoUnitario*(1+$AH53),ORÇAMENTO.PrecoUnitarioLicitado),15-13*$AF$10),0)</f>
        <v>0</v>
      </c>
      <c r="X53" s="155">
        <f ca="1">IF($C53="S",IF(Import.TipoArredondamento&lt;&gt;"TransfereGOV",VTOTAL1,SUM(OFFSET(CÁLCULO!$AI$15,ROW($X53)-ROW($X$15),1):OFFSET(CÁLCULO!$BB$15,ROW($X53)-ROW($X$15),-1))),IF($C53=0,0,ROUND(SomaAgrup,15-13*$AF$11)))</f>
        <v>0</v>
      </c>
      <c r="Y53" s="156" t="s">
        <v>245</v>
      </c>
      <c r="Z53" t="str">
        <f t="shared" ca="1" si="13"/>
        <v/>
      </c>
      <c r="AA53" s="157">
        <f ca="1">IF($C53="S",IF($Z53="CP",$X53,IF($Z53="RA",(($X53)*QCI!$AA$3),0)),SomaAgrup)</f>
        <v>0</v>
      </c>
      <c r="AB53" s="158">
        <f t="shared" ca="1" si="14"/>
        <v>0</v>
      </c>
      <c r="AC53" s="159" t="str">
        <f ca="1">IF($N53="","",IF(ORÇAMENTO.Descricao="","DESCRIÇÃO",IF(AND($C53="S",ORÇAMENTO.Unidade=""),"UNIDADE",IF($X53&lt;0,"VALOR NEGATIVO",IF(OR(AND(TIPOORCAMENTO="Proposto",$AG53&lt;&gt;"",$AG53&gt;0,ORÇAMENTO.CustoUnitario&gt;$AG53),AND(TIPOORCAMENTO="LICITADO",ORÇAMENTO.PrecoUnitarioLicitado&gt;$AN53)),"ACIMA REF.","")))))</f>
        <v/>
      </c>
      <c r="AD53" s="668" t="str">
        <f ca="1">IF(C53&lt;=CRONO.NivelExibicao,MAX($AD$15:OFFSET(AD53,-1,0))+IF($C53&lt;&gt;1,1,MAX(1,COUNTIF(QCI!$A$13:$A$15,OFFSET($E53,-1,0)))),"")</f>
        <v/>
      </c>
      <c r="AE53" s="115" t="str">
        <f ca="1">IF(AND($C53="S",ORÇAMENTO.CodBarra&lt;&gt;""),IF(ORÇAMENTO.Fonte="",ORÇAMENTO.CodBarra,CONCATENATE(ORÇAMENTO.Fonte," ",ORÇAMENTO.CodBarra)))</f>
        <v>SINAPI 93369</v>
      </c>
      <c r="AF53" s="160" t="str">
        <f ca="1">IF(ISERROR(INDIRECT(ORÇAMENTO.BancoRef)),"(abra o arquivo 'Referência "&amp;Excel_BuiltIn_Database&amp;".xlsm)",IF(OR($C53&lt;&gt;"S",ORÇAMENTO.CodBarra=""),"(Sem Código)",IF(ISERROR(MATCH($AE53,INDIRECT(ORÇAMENTO.BancoRef),0)),"(Código não identificado nas referências)",MATCH($AE53,INDIRECT(ORÇAMENTO.BancoRef),0))))</f>
        <v>(abra o arquivo 'Referência 12-2023.xlsm)</v>
      </c>
      <c r="AG53" s="579">
        <f ca="1">ROUND(IF(DESONERACAO="sim",REFERENCIA.Desonerado,REFERENCIA.NaoDesonerado),2)</f>
        <v>0</v>
      </c>
      <c r="AH53" s="580">
        <f t="shared" ca="1" si="15"/>
        <v>0.26750000000000002</v>
      </c>
      <c r="AJ53" s="582"/>
      <c r="AL53" s="612"/>
      <c r="AM53" s="431">
        <f t="shared" ca="1" si="0"/>
        <v>0</v>
      </c>
      <c r="AN53" s="654">
        <f t="shared" ca="1" si="16"/>
        <v>0</v>
      </c>
    </row>
    <row r="54" spans="1:40" x14ac:dyDescent="0.2">
      <c r="A54" t="str">
        <f t="shared" si="1"/>
        <v>S</v>
      </c>
      <c r="B54">
        <f t="shared" ca="1" si="2"/>
        <v>2</v>
      </c>
      <c r="C54" t="str">
        <f t="shared" ca="1" si="3"/>
        <v>S</v>
      </c>
      <c r="D54">
        <f t="shared" ca="1" si="4"/>
        <v>0</v>
      </c>
      <c r="E54">
        <f ca="1">IF($C54=1,OFFSET(E54,-1,0)+MAX(1,COUNTIF(QCI!$A$13:$A$15,OFFSET(ORÇAMENTO!E54,-1,0))),OFFSET(E54,-1,0))</f>
        <v>1</v>
      </c>
      <c r="F54">
        <f t="shared" ca="1" si="5"/>
        <v>8</v>
      </c>
      <c r="G54">
        <f t="shared" ca="1" si="6"/>
        <v>0</v>
      </c>
      <c r="H54">
        <f t="shared" ca="1" si="7"/>
        <v>0</v>
      </c>
      <c r="I54">
        <f t="shared" ca="1" si="8"/>
        <v>0</v>
      </c>
      <c r="J54">
        <f t="shared" ca="1" si="9"/>
        <v>0</v>
      </c>
      <c r="K54">
        <f ca="1">IF(OR($C54="S",$C54=0),0,MATCH(OFFSET($D54,0,$C54)+IF($C54&lt;&gt;1,1,COUNTIF(QCI!$A$13:$A$15,ORÇAMENTO!E54)),OFFSET($D54,1,$C54,ROW($C$58)-ROW($C54)),0))</f>
        <v>0</v>
      </c>
      <c r="L54" s="144" t="str">
        <f t="shared" ca="1" si="10"/>
        <v/>
      </c>
      <c r="M54" s="145" t="s">
        <v>199</v>
      </c>
      <c r="N54" s="146" t="str">
        <f t="shared" ca="1" si="11"/>
        <v>Serviço</v>
      </c>
      <c r="O54" s="147" t="str">
        <f t="shared" ca="1" si="12"/>
        <v>-</v>
      </c>
      <c r="P54" s="148" t="s">
        <v>247</v>
      </c>
      <c r="Q54" s="149" t="s">
        <v>512</v>
      </c>
      <c r="R54" s="150" t="str">
        <f ca="1">IF($C54="S",REFERENCIA.Descricao,"(digite a descrição aqui)")</f>
        <v>(abra o arquivo 'Referência 12-2023.xlsm)</v>
      </c>
      <c r="S54" s="151" t="str">
        <f ca="1">REFERENCIA.Unidade</f>
        <v>-</v>
      </c>
      <c r="T54" s="152">
        <f ca="1">OFFSET(CÁLCULO!H$15,ROW($T54)-ROW(T$15),0)</f>
        <v>263.82</v>
      </c>
      <c r="U54" s="153">
        <f t="shared" ca="1" si="17"/>
        <v>0</v>
      </c>
      <c r="V54" s="154" t="s">
        <v>156</v>
      </c>
      <c r="W54" s="152">
        <f ca="1">IF($C54="S",ROUND(IF(TIPOORCAMENTO="Proposto",ORÇAMENTO.CustoUnitario*(1+$AH54),ORÇAMENTO.PrecoUnitarioLicitado),15-13*$AF$10),0)</f>
        <v>0</v>
      </c>
      <c r="X54" s="155">
        <f ca="1">IF($C54="S",IF(Import.TipoArredondamento&lt;&gt;"TransfereGOV",VTOTAL1,SUM(OFFSET(CÁLCULO!$AI$15,ROW($X54)-ROW($X$15),1):OFFSET(CÁLCULO!$BB$15,ROW($X54)-ROW($X$15),-1))),IF($C54=0,0,ROUND(SomaAgrup,15-13*$AF$11)))</f>
        <v>0</v>
      </c>
      <c r="Y54" s="156" t="s">
        <v>245</v>
      </c>
      <c r="Z54" t="str">
        <f t="shared" ca="1" si="13"/>
        <v/>
      </c>
      <c r="AA54" s="157">
        <f ca="1">IF($C54="S",IF($Z54="CP",$X54,IF($Z54="RA",(($X54)*QCI!$AA$3),0)),SomaAgrup)</f>
        <v>0</v>
      </c>
      <c r="AB54" s="158">
        <f t="shared" ca="1" si="14"/>
        <v>0</v>
      </c>
      <c r="AC54" s="159" t="str">
        <f ca="1">IF($N54="","",IF(ORÇAMENTO.Descricao="","DESCRIÇÃO",IF(AND($C54="S",ORÇAMENTO.Unidade=""),"UNIDADE",IF($X54&lt;0,"VALOR NEGATIVO",IF(OR(AND(TIPOORCAMENTO="Proposto",$AG54&lt;&gt;"",$AG54&gt;0,ORÇAMENTO.CustoUnitario&gt;$AG54),AND(TIPOORCAMENTO="LICITADO",ORÇAMENTO.PrecoUnitarioLicitado&gt;$AN54)),"ACIMA REF.","")))))</f>
        <v/>
      </c>
      <c r="AD54" s="668" t="str">
        <f ca="1">IF(C54&lt;=CRONO.NivelExibicao,MAX($AD$15:OFFSET(AD54,-1,0))+IF($C54&lt;&gt;1,1,MAX(1,COUNTIF(QCI!$A$13:$A$15,OFFSET($E54,-1,0)))),"")</f>
        <v/>
      </c>
      <c r="AE54" s="115" t="str">
        <f ca="1">IF(AND($C54="S",ORÇAMENTO.CodBarra&lt;&gt;""),IF(ORÇAMENTO.Fonte="",ORÇAMENTO.CodBarra,CONCATENATE(ORÇAMENTO.Fonte," ",ORÇAMENTO.CodBarra)))</f>
        <v>SINAPI 95426</v>
      </c>
      <c r="AF54" s="160" t="str">
        <f ca="1">IF(ISERROR(INDIRECT(ORÇAMENTO.BancoRef)),"(abra o arquivo 'Referência "&amp;Excel_BuiltIn_Database&amp;".xlsm)",IF(OR($C54&lt;&gt;"S",ORÇAMENTO.CodBarra=""),"(Sem Código)",IF(ISERROR(MATCH($AE54,INDIRECT(ORÇAMENTO.BancoRef),0)),"(Código não identificado nas referências)",MATCH($AE54,INDIRECT(ORÇAMENTO.BancoRef),0))))</f>
        <v>(abra o arquivo 'Referência 12-2023.xlsm)</v>
      </c>
      <c r="AG54" s="579">
        <f ca="1">ROUND(IF(DESONERACAO="sim",REFERENCIA.Desonerado,REFERENCIA.NaoDesonerado),2)</f>
        <v>0</v>
      </c>
      <c r="AH54" s="580">
        <f t="shared" ca="1" si="15"/>
        <v>0.26750000000000002</v>
      </c>
      <c r="AJ54" s="582"/>
      <c r="AL54" s="612"/>
      <c r="AM54" s="431">
        <f t="shared" ca="1" si="0"/>
        <v>0</v>
      </c>
      <c r="AN54" s="654">
        <f t="shared" ca="1" si="16"/>
        <v>0</v>
      </c>
    </row>
    <row r="55" spans="1:40" x14ac:dyDescent="0.2">
      <c r="A55" t="str">
        <f t="shared" si="1"/>
        <v>S</v>
      </c>
      <c r="B55">
        <f t="shared" ca="1" si="2"/>
        <v>2</v>
      </c>
      <c r="C55" t="str">
        <f t="shared" ca="1" si="3"/>
        <v>S</v>
      </c>
      <c r="D55">
        <f t="shared" ca="1" si="4"/>
        <v>0</v>
      </c>
      <c r="E55">
        <f ca="1">IF($C55=1,OFFSET(E55,-1,0)+MAX(1,COUNTIF(QCI!$A$13:$A$15,OFFSET(ORÇAMENTO!E55,-1,0))),OFFSET(E55,-1,0))</f>
        <v>1</v>
      </c>
      <c r="F55">
        <f t="shared" ca="1" si="5"/>
        <v>8</v>
      </c>
      <c r="G55">
        <f t="shared" ca="1" si="6"/>
        <v>0</v>
      </c>
      <c r="H55">
        <f t="shared" ca="1" si="7"/>
        <v>0</v>
      </c>
      <c r="I55">
        <f t="shared" ca="1" si="8"/>
        <v>0</v>
      </c>
      <c r="J55">
        <f t="shared" ca="1" si="9"/>
        <v>0</v>
      </c>
      <c r="K55">
        <f ca="1">IF(OR($C55="S",$C55=0),0,MATCH(OFFSET($D55,0,$C55)+IF($C55&lt;&gt;1,1,COUNTIF(QCI!$A$13:$A$15,ORÇAMENTO!E55)),OFFSET($D55,1,$C55,ROW($C$58)-ROW($C55)),0))</f>
        <v>0</v>
      </c>
      <c r="L55" s="144" t="str">
        <f t="shared" ca="1" si="10"/>
        <v/>
      </c>
      <c r="M55" s="145" t="s">
        <v>199</v>
      </c>
      <c r="N55" s="146" t="str">
        <f t="shared" ca="1" si="11"/>
        <v>Serviço</v>
      </c>
      <c r="O55" s="147" t="str">
        <f t="shared" ca="1" si="12"/>
        <v>-</v>
      </c>
      <c r="P55" s="148" t="s">
        <v>247</v>
      </c>
      <c r="Q55" s="149" t="s">
        <v>515</v>
      </c>
      <c r="R55" s="150" t="str">
        <f ca="1">IF($C55="S",REFERENCIA.Descricao,"(digite a descrição aqui)")</f>
        <v>(abra o arquivo 'Referência 12-2023.xlsm)</v>
      </c>
      <c r="S55" s="151" t="str">
        <f ca="1">REFERENCIA.Unidade</f>
        <v>-</v>
      </c>
      <c r="T55" s="152">
        <f ca="1">OFFSET(CÁLCULO!H$15,ROW($T55)-ROW(T$15),0)</f>
        <v>314.06</v>
      </c>
      <c r="U55" s="153">
        <f t="shared" ca="1" si="17"/>
        <v>0</v>
      </c>
      <c r="V55" s="154" t="s">
        <v>156</v>
      </c>
      <c r="W55" s="152">
        <f ca="1">IF($C55="S",ROUND(IF(TIPOORCAMENTO="Proposto",ORÇAMENTO.CustoUnitario*(1+$AH55),ORÇAMENTO.PrecoUnitarioLicitado),15-13*$AF$10),0)</f>
        <v>0</v>
      </c>
      <c r="X55" s="155">
        <f ca="1">IF($C55="S",IF(Import.TipoArredondamento&lt;&gt;"TransfereGOV",VTOTAL1,SUM(OFFSET(CÁLCULO!$AI$15,ROW($X55)-ROW($X$15),1):OFFSET(CÁLCULO!$BB$15,ROW($X55)-ROW($X$15),-1))),IF($C55=0,0,ROUND(SomaAgrup,15-13*$AF$11)))</f>
        <v>0</v>
      </c>
      <c r="Y55" s="156" t="s">
        <v>245</v>
      </c>
      <c r="Z55" t="str">
        <f t="shared" ca="1" si="13"/>
        <v/>
      </c>
      <c r="AA55" s="157">
        <f ca="1">IF($C55="S",IF($Z55="CP",$X55,IF($Z55="RA",(($X55)*QCI!$AA$3),0)),SomaAgrup)</f>
        <v>0</v>
      </c>
      <c r="AB55" s="158">
        <f t="shared" ca="1" si="14"/>
        <v>0</v>
      </c>
      <c r="AC55" s="159" t="str">
        <f ca="1">IF($N55="","",IF(ORÇAMENTO.Descricao="","DESCRIÇÃO",IF(AND($C55="S",ORÇAMENTO.Unidade=""),"UNIDADE",IF($X55&lt;0,"VALOR NEGATIVO",IF(OR(AND(TIPOORCAMENTO="Proposto",$AG55&lt;&gt;"",$AG55&gt;0,ORÇAMENTO.CustoUnitario&gt;$AG55),AND(TIPOORCAMENTO="LICITADO",ORÇAMENTO.PrecoUnitarioLicitado&gt;$AN55)),"ACIMA REF.","")))))</f>
        <v/>
      </c>
      <c r="AD55" s="668" t="str">
        <f ca="1">IF(C55&lt;=CRONO.NivelExibicao,MAX($AD$15:OFFSET(AD55,-1,0))+IF($C55&lt;&gt;1,1,MAX(1,COUNTIF(QCI!$A$13:$A$15,OFFSET($E55,-1,0)))),"")</f>
        <v/>
      </c>
      <c r="AE55" s="115" t="str">
        <f ca="1">IF(AND($C55="S",ORÇAMENTO.CodBarra&lt;&gt;""),IF(ORÇAMENTO.Fonte="",ORÇAMENTO.CodBarra,CONCATENATE(ORÇAMENTO.Fonte," ",ORÇAMENTO.CodBarra)))</f>
        <v>SINAPI 92212</v>
      </c>
      <c r="AF55" s="160" t="str">
        <f ca="1">IF(ISERROR(INDIRECT(ORÇAMENTO.BancoRef)),"(abra o arquivo 'Referência "&amp;Excel_BuiltIn_Database&amp;".xlsm)",IF(OR($C55&lt;&gt;"S",ORÇAMENTO.CodBarra=""),"(Sem Código)",IF(ISERROR(MATCH($AE55,INDIRECT(ORÇAMENTO.BancoRef),0)),"(Código não identificado nas referências)",MATCH($AE55,INDIRECT(ORÇAMENTO.BancoRef),0))))</f>
        <v>(abra o arquivo 'Referência 12-2023.xlsm)</v>
      </c>
      <c r="AG55" s="579">
        <f ca="1">ROUND(IF(DESONERACAO="sim",REFERENCIA.Desonerado,REFERENCIA.NaoDesonerado),2)</f>
        <v>0</v>
      </c>
      <c r="AH55" s="580">
        <f t="shared" ca="1" si="15"/>
        <v>0.26750000000000002</v>
      </c>
      <c r="AJ55" s="582"/>
      <c r="AL55" s="612"/>
      <c r="AM55" s="431">
        <f t="shared" ca="1" si="0"/>
        <v>0</v>
      </c>
      <c r="AN55" s="654">
        <f t="shared" ca="1" si="16"/>
        <v>0</v>
      </c>
    </row>
    <row r="56" spans="1:40" x14ac:dyDescent="0.2">
      <c r="A56" t="str">
        <f t="shared" si="1"/>
        <v>S</v>
      </c>
      <c r="B56">
        <f t="shared" ca="1" si="2"/>
        <v>2</v>
      </c>
      <c r="C56" t="str">
        <f t="shared" ca="1" si="3"/>
        <v>S</v>
      </c>
      <c r="D56">
        <f t="shared" ca="1" si="4"/>
        <v>0</v>
      </c>
      <c r="E56">
        <f ca="1">IF($C56=1,OFFSET(E56,-1,0)+MAX(1,COUNTIF(QCI!$A$13:$A$15,OFFSET(ORÇAMENTO!E56,-1,0))),OFFSET(E56,-1,0))</f>
        <v>1</v>
      </c>
      <c r="F56">
        <f t="shared" ca="1" si="5"/>
        <v>8</v>
      </c>
      <c r="G56">
        <f t="shared" ca="1" si="6"/>
        <v>0</v>
      </c>
      <c r="H56">
        <f t="shared" ca="1" si="7"/>
        <v>0</v>
      </c>
      <c r="I56">
        <f t="shared" ca="1" si="8"/>
        <v>0</v>
      </c>
      <c r="J56">
        <f t="shared" ca="1" si="9"/>
        <v>0</v>
      </c>
      <c r="K56">
        <f ca="1">IF(OR($C56="S",$C56=0),0,MATCH(OFFSET($D56,0,$C56)+IF($C56&lt;&gt;1,1,COUNTIF(QCI!$A$13:$A$15,ORÇAMENTO!E56)),OFFSET($D56,1,$C56,ROW($C$58)-ROW($C56)),0))</f>
        <v>0</v>
      </c>
      <c r="L56" s="144" t="str">
        <f t="shared" ca="1" si="10"/>
        <v/>
      </c>
      <c r="M56" s="145" t="s">
        <v>199</v>
      </c>
      <c r="N56" s="146" t="str">
        <f t="shared" ca="1" si="11"/>
        <v>Serviço</v>
      </c>
      <c r="O56" s="147" t="str">
        <f t="shared" ca="1" si="12"/>
        <v>-</v>
      </c>
      <c r="P56" s="148" t="s">
        <v>247</v>
      </c>
      <c r="Q56" s="149" t="s">
        <v>513</v>
      </c>
      <c r="R56" s="150" t="str">
        <f ca="1">IF($C56="S",REFERENCIA.Descricao,"(digite a descrição aqui)")</f>
        <v>(abra o arquivo 'Referência 12-2023.xlsm)</v>
      </c>
      <c r="S56" s="151" t="str">
        <f ca="1">REFERENCIA.Unidade</f>
        <v>-</v>
      </c>
      <c r="T56" s="152">
        <f ca="1">OFFSET(CÁLCULO!H$15,ROW($T56)-ROW(T$15),0)</f>
        <v>3</v>
      </c>
      <c r="U56" s="153">
        <f t="shared" ca="1" si="17"/>
        <v>0</v>
      </c>
      <c r="V56" s="154" t="s">
        <v>156</v>
      </c>
      <c r="W56" s="152">
        <f ca="1">IF($C56="S",ROUND(IF(TIPOORCAMENTO="Proposto",ORÇAMENTO.CustoUnitario*(1+$AH56),ORÇAMENTO.PrecoUnitarioLicitado),15-13*$AF$10),0)</f>
        <v>0</v>
      </c>
      <c r="X56" s="155">
        <f ca="1">IF($C56="S",IF(Import.TipoArredondamento&lt;&gt;"TransfereGOV",VTOTAL1,SUM(OFFSET(CÁLCULO!$AI$15,ROW($X56)-ROW($X$15),1):OFFSET(CÁLCULO!$BB$15,ROW($X56)-ROW($X$15),-1))),IF($C56=0,0,ROUND(SomaAgrup,15-13*$AF$11)))</f>
        <v>0</v>
      </c>
      <c r="Y56" s="156" t="s">
        <v>245</v>
      </c>
      <c r="Z56" t="str">
        <f t="shared" ca="1" si="13"/>
        <v/>
      </c>
      <c r="AA56" s="157">
        <f ca="1">IF($C56="S",IF($Z56="CP",$X56,IF($Z56="RA",(($X56)*QCI!$AA$3),0)),SomaAgrup)</f>
        <v>0</v>
      </c>
      <c r="AB56" s="158">
        <f t="shared" ca="1" si="14"/>
        <v>0</v>
      </c>
      <c r="AC56" s="159" t="str">
        <f ca="1">IF($N56="","",IF(ORÇAMENTO.Descricao="","DESCRIÇÃO",IF(AND($C56="S",ORÇAMENTO.Unidade=""),"UNIDADE",IF($X56&lt;0,"VALOR NEGATIVO",IF(OR(AND(TIPOORCAMENTO="Proposto",$AG56&lt;&gt;"",$AG56&gt;0,ORÇAMENTO.CustoUnitario&gt;$AG56),AND(TIPOORCAMENTO="LICITADO",ORÇAMENTO.PrecoUnitarioLicitado&gt;$AN56)),"ACIMA REF.","")))))</f>
        <v/>
      </c>
      <c r="AD56" s="668" t="str">
        <f ca="1">IF(C56&lt;=CRONO.NivelExibicao,MAX($AD$15:OFFSET(AD56,-1,0))+IF($C56&lt;&gt;1,1,MAX(1,COUNTIF(QCI!$A$13:$A$15,OFFSET($E56,-1,0)))),"")</f>
        <v/>
      </c>
      <c r="AE56" s="115" t="str">
        <f ca="1">IF(AND($C56="S",ORÇAMENTO.CodBarra&lt;&gt;""),IF(ORÇAMENTO.Fonte="",ORÇAMENTO.CodBarra,CONCATENATE(ORÇAMENTO.Fonte," ",ORÇAMENTO.CodBarra)))</f>
        <v>SINAPI 99244</v>
      </c>
      <c r="AF56" s="160" t="str">
        <f ca="1">IF(ISERROR(INDIRECT(ORÇAMENTO.BancoRef)),"(abra o arquivo 'Referência "&amp;Excel_BuiltIn_Database&amp;".xlsm)",IF(OR($C56&lt;&gt;"S",ORÇAMENTO.CodBarra=""),"(Sem Código)",IF(ISERROR(MATCH($AE56,INDIRECT(ORÇAMENTO.BancoRef),0)),"(Código não identificado nas referências)",MATCH($AE56,INDIRECT(ORÇAMENTO.BancoRef),0))))</f>
        <v>(abra o arquivo 'Referência 12-2023.xlsm)</v>
      </c>
      <c r="AG56" s="579">
        <f ca="1">ROUND(IF(DESONERACAO="sim",REFERENCIA.Desonerado,REFERENCIA.NaoDesonerado),2)</f>
        <v>0</v>
      </c>
      <c r="AH56" s="580">
        <f t="shared" ca="1" si="15"/>
        <v>0.26750000000000002</v>
      </c>
      <c r="AJ56" s="582"/>
      <c r="AL56" s="612"/>
      <c r="AM56" s="431">
        <f t="shared" ca="1" si="0"/>
        <v>0</v>
      </c>
      <c r="AN56" s="654">
        <f t="shared" ca="1" si="16"/>
        <v>0</v>
      </c>
    </row>
    <row r="57" spans="1:40" x14ac:dyDescent="0.2">
      <c r="A57" t="str">
        <f>CHOOSE(1+LOG(1+2*(ORÇAMENTO.Nivel="Meta")+4*(ORÇAMENTO.Nivel="Nível 2")+8*(ORÇAMENTO.Nivel="Nível 3")+16*(ORÇAMENTO.Nivel="Nível 4")+32*(ORÇAMENTO.Nivel="Serviço"),2),0,1,2,3,4,"S")</f>
        <v>S</v>
      </c>
      <c r="B57">
        <f ca="1">IF(OR(C57="s",C57=0),OFFSET(B57,-1,0),C57)</f>
        <v>2</v>
      </c>
      <c r="C57" t="str">
        <f ca="1">IF(OFFSET(C57,-1,0)="L",1,IF(OFFSET(C57,-1,0)=1,2,IF(OR(A57="s",A57=0),"S",IF(AND(OFFSET(C57,-1,0)=2,A57=4),3,IF(AND(OR(OFFSET(C57,-1,0)="s",OFFSET(C57,-1,0)=0),A57&lt;&gt;"s",A57&gt;OFFSET(B57,-1,0)),OFFSET(B57,-1,0),A57)))))</f>
        <v>S</v>
      </c>
      <c r="D57">
        <f ca="1">IF(OR(C57="S",C57=0),0,IF(ISERROR(K57),J57,SMALL(J57:K57,1)))</f>
        <v>0</v>
      </c>
      <c r="E57">
        <f ca="1">IF($C57=1,OFFSET(E57,-1,0)+MAX(1,COUNTIF(QCI!$A$13:$A$15,OFFSET(ORÇAMENTO!E57,-1,0))),OFFSET(E57,-1,0))</f>
        <v>1</v>
      </c>
      <c r="F57">
        <f ca="1">IF($C57=1,0,IF($C57=2,OFFSET(F57,-1,0)+1,OFFSET(F57,-1,0)))</f>
        <v>8</v>
      </c>
      <c r="G57">
        <f ca="1">IF(AND($C57&lt;=2,$C57&lt;&gt;0),0,IF($C57=3,OFFSET(G57,-1,0)+1,OFFSET(G57,-1,0)))</f>
        <v>0</v>
      </c>
      <c r="H57">
        <f ca="1">IF(AND($C57&lt;=3,$C57&lt;&gt;0),0,IF($C57=4,OFFSET(H57,-1,0)+1,OFFSET(H57,-1,0)))</f>
        <v>0</v>
      </c>
      <c r="I57">
        <f ca="1">IF(AND($C57&lt;=4,$C57&lt;&gt;0),0,IF(AND($C57="S",$X57&gt;0),OFFSET(I57,-1,0)+1,OFFSET(I57,-1,0)))</f>
        <v>0</v>
      </c>
      <c r="J57">
        <f t="shared" ca="1" si="9"/>
        <v>0</v>
      </c>
      <c r="K57">
        <f ca="1">IF(OR($C57="S",$C57=0),0,MATCH(OFFSET($D57,0,$C57)+IF($C57&lt;&gt;1,1,COUNTIF(QCI!$A$13:$A$15,ORÇAMENTO!E57)),OFFSET($D57,1,$C57,ROW($C$58)-ROW($C57)),0))</f>
        <v>0</v>
      </c>
      <c r="L57" s="144" t="str">
        <f ca="1">IF(OR($X57&gt;0,$C57=1,$C57=2,$C57=3,$C57=4),"F","")</f>
        <v/>
      </c>
      <c r="M57" s="145" t="s">
        <v>199</v>
      </c>
      <c r="N57" s="146" t="str">
        <f ca="1">CHOOSE(1+LOG(1+2*(C57=1)+4*(C57=2)+8*(C57=3)+16*(C57=4)+32*(C57="S"),2),"","Meta","Nível 2","Nível 3","Nível 4","Serviço")</f>
        <v>Serviço</v>
      </c>
      <c r="O57" s="147" t="str">
        <f ca="1">IF(OR($C57=0,$L57=""),"-",CONCATENATE(E57&amp;".",IF(AND($A$5&gt;=2,$C57&gt;=2),F57&amp;".",""),IF(AND($A$5&gt;=3,$C57&gt;=3),G57&amp;".",""),IF(AND($A$5&gt;=4,$C57&gt;=4),H57&amp;".",""),IF($C57="S",I57&amp;".","")))</f>
        <v>-</v>
      </c>
      <c r="P57" s="148" t="s">
        <v>247</v>
      </c>
      <c r="Q57" s="149" t="s">
        <v>514</v>
      </c>
      <c r="R57" s="150" t="str">
        <f ca="1">IF($C57="S",REFERENCIA.Descricao,"(digite a descrição aqui)")</f>
        <v>(abra o arquivo 'Referência 12-2023.xlsm)</v>
      </c>
      <c r="S57" s="151" t="str">
        <f ca="1">REFERENCIA.Unidade</f>
        <v>-</v>
      </c>
      <c r="T57" s="152">
        <f ca="1">OFFSET(CÁLCULO!H$15,ROW($T57)-ROW(T$15),0)</f>
        <v>3</v>
      </c>
      <c r="U57" s="153">
        <f t="shared" ca="1" si="17"/>
        <v>0</v>
      </c>
      <c r="V57" s="154" t="s">
        <v>156</v>
      </c>
      <c r="W57" s="152">
        <f ca="1">IF($C57="S",ROUND(IF(TIPOORCAMENTO="Proposto",ORÇAMENTO.CustoUnitario*(1+$AH57),ORÇAMENTO.PrecoUnitarioLicitado),15-13*$AF$10),0)</f>
        <v>0</v>
      </c>
      <c r="X57" s="155">
        <f ca="1">IF($C57="S",IF(Import.TipoArredondamento&lt;&gt;"TransfereGOV",VTOTAL1,SUM(OFFSET(CÁLCULO!$AI$15,ROW($X57)-ROW($X$15),1):OFFSET(CÁLCULO!$BB$15,ROW($X57)-ROW($X$15),-1))),IF($C57=0,0,ROUND(SomaAgrup,15-13*$AF$11)))</f>
        <v>0</v>
      </c>
      <c r="Y57" s="156" t="s">
        <v>245</v>
      </c>
      <c r="Z57" t="str">
        <f ca="1">IF(AND($C57="S",$X57&gt;0),IF(ISBLANK($Y57),"RA",LEFT($Y57,2)),"")</f>
        <v/>
      </c>
      <c r="AA57" s="157">
        <f ca="1">IF($C57="S",IF($Z57="CP",$X57,IF($Z57="RA",(($X57)*QCI!$AA$3),0)),SomaAgrup)</f>
        <v>0</v>
      </c>
      <c r="AB57" s="158">
        <f ca="1">IF($C57="S",IF($Z57="OU",ROUND($X57,2),0),SomaAgrup)</f>
        <v>0</v>
      </c>
      <c r="AC57" s="159" t="str">
        <f ca="1">IF($N57="","",IF(ORÇAMENTO.Descricao="","DESCRIÇÃO",IF(AND($C57="S",ORÇAMENTO.Unidade=""),"UNIDADE",IF($X57&lt;0,"VALOR NEGATIVO",IF(OR(AND(TIPOORCAMENTO="Proposto",$AG57&lt;&gt;"",$AG57&gt;0,ORÇAMENTO.CustoUnitario&gt;$AG57),AND(TIPOORCAMENTO="LICITADO",ORÇAMENTO.PrecoUnitarioLicitado&gt;$AN57)),"ACIMA REF.","")))))</f>
        <v/>
      </c>
      <c r="AD57" s="668" t="str">
        <f ca="1">IF(C57&lt;=CRONO.NivelExibicao,MAX($AD$15:OFFSET(AD57,-1,0))+IF($C57&lt;&gt;1,1,MAX(1,COUNTIF(QCI!$A$13:$A$15,OFFSET($E57,-1,0)))),"")</f>
        <v/>
      </c>
      <c r="AE57" s="115" t="str">
        <f ca="1">IF(AND($C57="S",ORÇAMENTO.CodBarra&lt;&gt;""),IF(ORÇAMENTO.Fonte="",ORÇAMENTO.CodBarra,CONCATENATE(ORÇAMENTO.Fonte," ",ORÇAMENTO.CodBarra)))</f>
        <v>SINAPI 97952</v>
      </c>
      <c r="AF57" s="160" t="str">
        <f ca="1">IF(ISERROR(INDIRECT(ORÇAMENTO.BancoRef)),"(abra o arquivo 'Referência "&amp;Excel_BuiltIn_Database&amp;".xlsm)",IF(OR($C57&lt;&gt;"S",ORÇAMENTO.CodBarra=""),"(Sem Código)",IF(ISERROR(MATCH($AE57,INDIRECT(ORÇAMENTO.BancoRef),0)),"(Código não identificado nas referências)",MATCH($AE57,INDIRECT(ORÇAMENTO.BancoRef),0))))</f>
        <v>(abra o arquivo 'Referência 12-2023.xlsm)</v>
      </c>
      <c r="AG57" s="579">
        <f ca="1">ROUND(IF(DESONERACAO="sim",REFERENCIA.Desonerado,REFERENCIA.NaoDesonerado),2)</f>
        <v>0</v>
      </c>
      <c r="AH57" s="580">
        <f ca="1">ROUND(IF(ISNUMBER(ORÇAMENTO.OpcaoBDI),ORÇAMENTO.OpcaoBDI,IF(LEFT(ORÇAMENTO.OpcaoBDI,3)="BDI",HLOOKUP(ORÇAMENTO.OpcaoBDI,$F$4:$H$5,2,FALSE),0)),15-11*$AF$9)</f>
        <v>0.26750000000000002</v>
      </c>
      <c r="AJ57" s="582"/>
      <c r="AL57" s="612"/>
      <c r="AM57" s="431">
        <f t="shared" ca="1" si="0"/>
        <v>0</v>
      </c>
      <c r="AN57" s="654">
        <f ca="1">ROUND(ORÇAMENTO.CustoUnitario*(1+$AH57),2)</f>
        <v>0</v>
      </c>
    </row>
    <row r="58" spans="1:40" ht="5.0999999999999996" customHeight="1" x14ac:dyDescent="0.2">
      <c r="A58">
        <v>-1</v>
      </c>
      <c r="C58">
        <v>-1</v>
      </c>
      <c r="E58">
        <v>0</v>
      </c>
      <c r="F58">
        <v>0</v>
      </c>
      <c r="G58">
        <v>0</v>
      </c>
      <c r="H58">
        <v>0</v>
      </c>
      <c r="I58">
        <v>0</v>
      </c>
      <c r="L58" s="144" t="s">
        <v>246</v>
      </c>
      <c r="M58" s="572"/>
      <c r="N58" s="573"/>
      <c r="O58" s="572"/>
      <c r="P58" s="574"/>
      <c r="Q58" s="574"/>
      <c r="R58" s="574"/>
      <c r="S58" s="574"/>
      <c r="T58" s="574"/>
      <c r="U58" s="574"/>
      <c r="V58" s="574"/>
      <c r="W58" s="574"/>
      <c r="X58" s="575"/>
      <c r="Y58" s="105"/>
      <c r="AA58" s="105"/>
      <c r="AB58" s="105"/>
      <c r="AC58" s="105"/>
      <c r="AD58" s="105"/>
      <c r="AE58" s="105"/>
      <c r="AF58" s="105"/>
      <c r="AG58" s="567"/>
      <c r="AH58" s="565"/>
      <c r="AJ58" s="576"/>
      <c r="AL58" s="567"/>
      <c r="AM58" s="564"/>
      <c r="AN58" s="565"/>
    </row>
    <row r="59" spans="1:40" x14ac:dyDescent="0.2"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5"/>
      <c r="AA59" s="105"/>
      <c r="AB59" s="105"/>
      <c r="AC59" s="105"/>
      <c r="AD59" s="105"/>
      <c r="AE59" s="105"/>
      <c r="AF59" s="105"/>
      <c r="AG59" s="105"/>
      <c r="AH59" s="105"/>
      <c r="AN59" s="105"/>
    </row>
    <row r="60" spans="1:40" x14ac:dyDescent="0.2"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5"/>
      <c r="AA60" s="105"/>
      <c r="AB60" s="105"/>
      <c r="AC60" s="105"/>
      <c r="AD60" s="105"/>
      <c r="AE60" s="105"/>
      <c r="AF60" s="105"/>
      <c r="AG60" s="105"/>
      <c r="AH60" s="105"/>
      <c r="AN60" s="105"/>
    </row>
    <row r="61" spans="1:40" ht="14.25" x14ac:dyDescent="0.2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70" t="s">
        <v>248</v>
      </c>
      <c r="P61" s="105"/>
      <c r="Q61" s="713" t="s">
        <v>249</v>
      </c>
      <c r="R61" s="713"/>
      <c r="S61" s="713"/>
      <c r="T61" s="713"/>
      <c r="U61" s="713"/>
      <c r="V61" s="713"/>
      <c r="W61" s="713"/>
      <c r="X61" s="713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N61" s="105"/>
    </row>
    <row r="62" spans="1:40" x14ac:dyDescent="0.2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N62" s="105"/>
    </row>
    <row r="63" spans="1:40" ht="14.25" x14ac:dyDescent="0.2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71" t="s">
        <v>187</v>
      </c>
      <c r="P63" s="106"/>
      <c r="Q63" s="106"/>
      <c r="R63" s="106"/>
      <c r="S63" s="106"/>
      <c r="T63" s="106"/>
      <c r="U63" s="106"/>
      <c r="V63" s="106"/>
      <c r="W63" s="106"/>
      <c r="X63" s="172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N63" s="105"/>
    </row>
    <row r="64" spans="1:40" ht="12.75" customHeight="1" x14ac:dyDescent="0.2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714"/>
      <c r="P64" s="714"/>
      <c r="Q64" s="714"/>
      <c r="R64" s="714"/>
      <c r="S64" s="714"/>
      <c r="T64" s="714"/>
      <c r="U64" s="714"/>
      <c r="V64" s="714"/>
      <c r="W64" s="714"/>
      <c r="X64" s="714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N64" s="105"/>
    </row>
    <row r="65" spans="1:40" x14ac:dyDescent="0.2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714"/>
      <c r="P65" s="714"/>
      <c r="Q65" s="714"/>
      <c r="R65" s="714"/>
      <c r="S65" s="714"/>
      <c r="T65" s="714"/>
      <c r="U65" s="714"/>
      <c r="V65" s="714"/>
      <c r="W65" s="714"/>
      <c r="X65" s="714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N65" s="105"/>
    </row>
    <row r="66" spans="1:40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714"/>
      <c r="P66" s="714"/>
      <c r="Q66" s="714"/>
      <c r="R66" s="714"/>
      <c r="S66" s="714"/>
      <c r="T66" s="714"/>
      <c r="U66" s="714"/>
      <c r="V66" s="714"/>
      <c r="W66" s="714"/>
      <c r="X66" s="714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N66" s="105"/>
    </row>
    <row r="67" spans="1:40" ht="14.25" x14ac:dyDescent="0.2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619"/>
      <c r="P67" s="619"/>
      <c r="Q67" s="619"/>
      <c r="R67" s="619"/>
      <c r="S67" s="619"/>
      <c r="T67" s="619"/>
      <c r="U67" s="619"/>
      <c r="V67" s="619"/>
      <c r="W67" s="619"/>
      <c r="X67" s="619"/>
      <c r="Y67" s="619"/>
      <c r="Z67" s="173"/>
      <c r="AA67" s="173"/>
      <c r="AB67" s="173"/>
      <c r="AC67" s="105"/>
      <c r="AD67" s="105"/>
      <c r="AE67" s="105"/>
      <c r="AF67" s="105"/>
      <c r="AG67" s="105"/>
      <c r="AH67" s="105"/>
      <c r="AN67" s="105"/>
    </row>
    <row r="68" spans="1:40" ht="15" x14ac:dyDescent="0.2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715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68" s="715"/>
      <c r="Q68" s="715"/>
      <c r="R68" s="715"/>
      <c r="S68" s="715"/>
      <c r="T68" s="715"/>
      <c r="U68" s="715"/>
      <c r="V68" s="715"/>
      <c r="W68" s="715"/>
      <c r="X68" s="715"/>
      <c r="Y68" s="174"/>
      <c r="Z68" s="174"/>
      <c r="AA68" s="174"/>
      <c r="AB68" s="174"/>
      <c r="AC68" s="105"/>
      <c r="AD68" s="105"/>
      <c r="AE68" s="105"/>
      <c r="AF68" s="105"/>
      <c r="AG68" s="105"/>
      <c r="AH68" s="105"/>
      <c r="AN68" s="105"/>
    </row>
    <row r="69" spans="1:40" ht="15" customHeight="1" x14ac:dyDescent="0.2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717" t="s">
        <v>250</v>
      </c>
      <c r="P69" s="717"/>
      <c r="Q69" s="717"/>
      <c r="R69" s="717"/>
      <c r="S69" s="717"/>
      <c r="T69" s="717"/>
      <c r="U69" s="717"/>
      <c r="V69" s="717"/>
      <c r="W69" s="717"/>
      <c r="X69" s="717"/>
      <c r="Y69" s="174"/>
      <c r="Z69" s="174"/>
      <c r="AA69" s="174"/>
      <c r="AB69" s="174"/>
      <c r="AC69" s="105"/>
      <c r="AD69" s="105"/>
      <c r="AE69" s="105"/>
      <c r="AF69" s="105"/>
      <c r="AG69" s="105"/>
      <c r="AH69" s="105"/>
      <c r="AN69" s="105"/>
    </row>
    <row r="70" spans="1:40" x14ac:dyDescent="0.2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N70" s="105"/>
    </row>
    <row r="71" spans="1:40" ht="30" customHeight="1" x14ac:dyDescent="0.2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716" t="str">
        <f>Import.Município</f>
        <v xml:space="preserve">SÃO FRANCISCO </v>
      </c>
      <c r="P71" s="716"/>
      <c r="Q71" s="716"/>
      <c r="R71" s="105"/>
      <c r="S71" s="639"/>
      <c r="T71" s="639"/>
      <c r="U71" s="639"/>
      <c r="V71" s="639"/>
      <c r="W71" s="557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N71" s="105"/>
    </row>
    <row r="72" spans="1:40" x14ac:dyDescent="0.2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2" t="s">
        <v>188</v>
      </c>
      <c r="P72" s="105"/>
      <c r="Q72" s="105"/>
      <c r="R72" s="105"/>
      <c r="S72" s="230" t="s">
        <v>190</v>
      </c>
      <c r="T72" s="230"/>
      <c r="U72" s="230"/>
      <c r="V72" s="230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N72" s="105"/>
    </row>
    <row r="73" spans="1:40" x14ac:dyDescent="0.2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95" t="s">
        <v>108</v>
      </c>
      <c r="T73" s="96" t="str">
        <f t="array" ref="T73:T75">Import.RespOrçamento</f>
        <v>KÁREN MARIANA SOARES VIEIRA</v>
      </c>
      <c r="U73" s="177"/>
      <c r="V73" s="97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N73" s="105"/>
    </row>
    <row r="74" spans="1:40" x14ac:dyDescent="0.2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711">
        <f ca="1">DADOS!$F$25</f>
        <v>45737</v>
      </c>
      <c r="P74" s="711"/>
      <c r="Q74" s="711"/>
      <c r="R74" s="105"/>
      <c r="S74" s="95" t="s">
        <v>109</v>
      </c>
      <c r="T74" s="96" t="str">
        <v>332.425/D-MG</v>
      </c>
      <c r="U74" s="97"/>
      <c r="V74" s="97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N74" s="105"/>
    </row>
    <row r="75" spans="1:40" x14ac:dyDescent="0.2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78" t="s">
        <v>189</v>
      </c>
      <c r="P75" s="179"/>
      <c r="Q75" s="179"/>
      <c r="R75" s="105"/>
      <c r="S75" s="95" t="s">
        <v>110</v>
      </c>
      <c r="T75" s="96" t="str">
        <v>MG20242766780</v>
      </c>
      <c r="U75" s="97"/>
      <c r="V75" s="97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N75" s="105"/>
    </row>
  </sheetData>
  <sheetProtection password="BD1F" sheet="1" objects="1" scenarios="1" autoFilter="0"/>
  <autoFilter ref="L15:L58"/>
  <mergeCells count="24">
    <mergeCell ref="O74:Q74"/>
    <mergeCell ref="O15:R15"/>
    <mergeCell ref="Q61:X61"/>
    <mergeCell ref="O64:X66"/>
    <mergeCell ref="O68:X68"/>
    <mergeCell ref="O71:Q71"/>
    <mergeCell ref="O69:X69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45:M56">
    <cfRule type="cellIs" dxfId="349" priority="8359" stopIfTrue="1" operator="notEqual">
      <formula>$N14</formula>
    </cfRule>
  </conditionalFormatting>
  <conditionalFormatting sqref="N14:O14 R14 W14:X14 N45:O56 R45:R56 W45:X56">
    <cfRule type="expression" dxfId="348" priority="8360" stopIfTrue="1">
      <formula>$C14=1</formula>
    </cfRule>
    <cfRule type="expression" dxfId="347" priority="8361" stopIfTrue="1">
      <formula>OR($C14=0,$C14=2,$C14=3,$C14=4)</formula>
    </cfRule>
  </conditionalFormatting>
  <conditionalFormatting sqref="U14:V14 V45:V56">
    <cfRule type="expression" dxfId="346" priority="8362" stopIfTrue="1">
      <formula>$C14=1</formula>
    </cfRule>
    <cfRule type="expression" dxfId="345" priority="8363" stopIfTrue="1">
      <formula>OR($C14=0,$C14=2,$C14=3,$C14=4)</formula>
    </cfRule>
    <cfRule type="expression" dxfId="344" priority="8364" stopIfTrue="1">
      <formula>AND(TIPOORCAMENTO="Licitado",$C14&lt;&gt;"L",$C14&lt;&gt;-1)</formula>
    </cfRule>
  </conditionalFormatting>
  <conditionalFormatting sqref="P14:Q14 S14:T14 Y14 AG14:AH14 P45:Q56 S45:T56 Y45:Y56 AG45:AH56">
    <cfRule type="expression" dxfId="343" priority="8365" stopIfTrue="1">
      <formula>$C14=1</formula>
    </cfRule>
    <cfRule type="expression" dxfId="342" priority="8366" stopIfTrue="1">
      <formula>OR($C14=0,$C14=2,$C14=3,$C14=4)</formula>
    </cfRule>
  </conditionalFormatting>
  <conditionalFormatting sqref="AJ7:AJ15 AJ58 AJ45:AJ56">
    <cfRule type="expression" dxfId="341" priority="8367" stopIfTrue="1">
      <formula>OR(ACOMPANHAMENTO&lt;&gt;"BM",TIPOORCAMENTO="Licitado")</formula>
    </cfRule>
    <cfRule type="expression" dxfId="340" priority="8368" stopIfTrue="1">
      <formula>$C7=1</formula>
    </cfRule>
    <cfRule type="expression" dxfId="339" priority="8369" stopIfTrue="1">
      <formula>OR(AND(ISNUMBER($C7),$C7=0),$C7=2,$C7=3,$C7=4)</formula>
    </cfRule>
  </conditionalFormatting>
  <conditionalFormatting sqref="AL7:AL15 AL58 AL45:AL56">
    <cfRule type="expression" dxfId="338" priority="8370" stopIfTrue="1">
      <formula>TIPOORCAMENTO="PROPOSTO"</formula>
    </cfRule>
    <cfRule type="expression" dxfId="337" priority="8371" stopIfTrue="1">
      <formula>$C7=1</formula>
    </cfRule>
    <cfRule type="expression" dxfId="336" priority="8372" stopIfTrue="1">
      <formula>OR(AND(ISNUMBER($C7),$C7=0),$C7=2,$C7=3,$C7=4)</formula>
    </cfRule>
  </conditionalFormatting>
  <conditionalFormatting sqref="O8:P8">
    <cfRule type="expression" dxfId="335" priority="8376" stopIfTrue="1">
      <formula>ISERROR(INDIRECT($F$9))</formula>
    </cfRule>
  </conditionalFormatting>
  <conditionalFormatting sqref="S7:V8">
    <cfRule type="expression" dxfId="334" priority="8377" stopIfTrue="1">
      <formula>TIPOORCAMENTO="Proposto"</formula>
    </cfRule>
  </conditionalFormatting>
  <conditionalFormatting sqref="S9:V9">
    <cfRule type="expression" dxfId="333" priority="8324" stopIfTrue="1">
      <formula>TIPOORCAMENTO="Proposto"</formula>
    </cfRule>
  </conditionalFormatting>
  <conditionalFormatting sqref="AM7:AN15 AM58:AN58 AM45:AN56">
    <cfRule type="expression" dxfId="332" priority="8373" stopIfTrue="1">
      <formula>TIPOORCAMENTO="PROPOSTO"</formula>
    </cfRule>
    <cfRule type="expression" dxfId="331" priority="8374" stopIfTrue="1">
      <formula>$C7=1</formula>
    </cfRule>
    <cfRule type="expression" dxfId="330" priority="8375" stopIfTrue="1">
      <formula>OR(AND(ISNUMBER($C7),$C7=0),$C7=2,$C7=3,$C7=4)</formula>
    </cfRule>
  </conditionalFormatting>
  <conditionalFormatting sqref="M16:M24">
    <cfRule type="cellIs" dxfId="329" priority="528" stopIfTrue="1" operator="notEqual">
      <formula>$N16</formula>
    </cfRule>
  </conditionalFormatting>
  <conditionalFormatting sqref="N16:O24 R16:R24 W16:X24">
    <cfRule type="expression" dxfId="328" priority="529" stopIfTrue="1">
      <formula>$C16=1</formula>
    </cfRule>
    <cfRule type="expression" dxfId="327" priority="530" stopIfTrue="1">
      <formula>OR($C16=0,$C16=2,$C16=3,$C16=4)</formula>
    </cfRule>
  </conditionalFormatting>
  <conditionalFormatting sqref="U16:V18 V19:V24 U19:U57">
    <cfRule type="expression" dxfId="326" priority="531" stopIfTrue="1">
      <formula>$C16=1</formula>
    </cfRule>
    <cfRule type="expression" dxfId="325" priority="532" stopIfTrue="1">
      <formula>OR($C16=0,$C16=2,$C16=3,$C16=4)</formula>
    </cfRule>
    <cfRule type="expression" dxfId="324" priority="533" stopIfTrue="1">
      <formula>AND(TIPOORCAMENTO="Licitado",$C16&lt;&gt;"L",$C16&lt;&gt;-1)</formula>
    </cfRule>
  </conditionalFormatting>
  <conditionalFormatting sqref="P16:Q24 S16:T24 Y16:Y24 AG16:AH24">
    <cfRule type="expression" dxfId="323" priority="534" stopIfTrue="1">
      <formula>$C16=1</formula>
    </cfRule>
    <cfRule type="expression" dxfId="322" priority="535" stopIfTrue="1">
      <formula>OR($C16=0,$C16=2,$C16=3,$C16=4)</formula>
    </cfRule>
  </conditionalFormatting>
  <conditionalFormatting sqref="AJ16:AJ24">
    <cfRule type="expression" dxfId="321" priority="536" stopIfTrue="1">
      <formula>OR(ACOMPANHAMENTO&lt;&gt;"BM",TIPOORCAMENTO="Licitado")</formula>
    </cfRule>
    <cfRule type="expression" dxfId="320" priority="537" stopIfTrue="1">
      <formula>$C16=1</formula>
    </cfRule>
    <cfRule type="expression" dxfId="319" priority="538" stopIfTrue="1">
      <formula>OR(AND(ISNUMBER($C16),$C16=0),$C16=2,$C16=3,$C16=4)</formula>
    </cfRule>
  </conditionalFormatting>
  <conditionalFormatting sqref="AL16:AL24">
    <cfRule type="expression" dxfId="318" priority="539" stopIfTrue="1">
      <formula>TIPOORCAMENTO="PROPOSTO"</formula>
    </cfRule>
    <cfRule type="expression" dxfId="317" priority="540" stopIfTrue="1">
      <formula>$C16=1</formula>
    </cfRule>
    <cfRule type="expression" dxfId="316" priority="541" stopIfTrue="1">
      <formula>OR(AND(ISNUMBER($C16),$C16=0),$C16=2,$C16=3,$C16=4)</formula>
    </cfRule>
  </conditionalFormatting>
  <conditionalFormatting sqref="AM16:AN24">
    <cfRule type="expression" dxfId="315" priority="542" stopIfTrue="1">
      <formula>TIPOORCAMENTO="PROPOSTO"</formula>
    </cfRule>
    <cfRule type="expression" dxfId="314" priority="543" stopIfTrue="1">
      <formula>$C16=1</formula>
    </cfRule>
    <cfRule type="expression" dxfId="313" priority="544" stopIfTrue="1">
      <formula>OR(AND(ISNUMBER($C16),$C16=0),$C16=2,$C16=3,$C16=4)</formula>
    </cfRule>
  </conditionalFormatting>
  <conditionalFormatting sqref="M25:M26 M30:M35 M28">
    <cfRule type="cellIs" dxfId="312" priority="511" stopIfTrue="1" operator="notEqual">
      <formula>$N25</formula>
    </cfRule>
  </conditionalFormatting>
  <conditionalFormatting sqref="N25:O26 R25:R26 W25:X26 W30:X35 R30:R35 N30:O35 W28:X28 R28 N28:O28">
    <cfRule type="expression" dxfId="311" priority="512" stopIfTrue="1">
      <formula>$C25=1</formula>
    </cfRule>
    <cfRule type="expression" dxfId="310" priority="513" stopIfTrue="1">
      <formula>OR($C25=0,$C25=2,$C25=3,$C25=4)</formula>
    </cfRule>
  </conditionalFormatting>
  <conditionalFormatting sqref="V25:V26 V30:V35 V28">
    <cfRule type="expression" dxfId="309" priority="514" stopIfTrue="1">
      <formula>$C25=1</formula>
    </cfRule>
    <cfRule type="expression" dxfId="308" priority="515" stopIfTrue="1">
      <formula>OR($C25=0,$C25=2,$C25=3,$C25=4)</formula>
    </cfRule>
    <cfRule type="expression" dxfId="307" priority="516" stopIfTrue="1">
      <formula>AND(TIPOORCAMENTO="Licitado",$C25&lt;&gt;"L",$C25&lt;&gt;-1)</formula>
    </cfRule>
  </conditionalFormatting>
  <conditionalFormatting sqref="P25:Q26 S25:T26 Y25:Y26 AG25:AH26 AG30:AH35 Y30:Y35 S30:T35 P30:Q35 AG28:AH28 Y28 S28:T28 P28:Q28">
    <cfRule type="expression" dxfId="306" priority="517" stopIfTrue="1">
      <formula>$C25=1</formula>
    </cfRule>
    <cfRule type="expression" dxfId="305" priority="518" stopIfTrue="1">
      <formula>OR($C25=0,$C25=2,$C25=3,$C25=4)</formula>
    </cfRule>
  </conditionalFormatting>
  <conditionalFormatting sqref="AJ25:AJ26 AJ30:AJ35 AJ28">
    <cfRule type="expression" dxfId="304" priority="519" stopIfTrue="1">
      <formula>OR(ACOMPANHAMENTO&lt;&gt;"BM",TIPOORCAMENTO="Licitado")</formula>
    </cfRule>
    <cfRule type="expression" dxfId="303" priority="520" stopIfTrue="1">
      <formula>$C25=1</formula>
    </cfRule>
    <cfRule type="expression" dxfId="302" priority="521" stopIfTrue="1">
      <formula>OR(AND(ISNUMBER($C25),$C25=0),$C25=2,$C25=3,$C25=4)</formula>
    </cfRule>
  </conditionalFormatting>
  <conditionalFormatting sqref="AL25:AL26 AL30:AL35 AL28">
    <cfRule type="expression" dxfId="301" priority="522" stopIfTrue="1">
      <formula>TIPOORCAMENTO="PROPOSTO"</formula>
    </cfRule>
    <cfRule type="expression" dxfId="300" priority="523" stopIfTrue="1">
      <formula>$C25=1</formula>
    </cfRule>
    <cfRule type="expression" dxfId="299" priority="524" stopIfTrue="1">
      <formula>OR(AND(ISNUMBER($C25),$C25=0),$C25=2,$C25=3,$C25=4)</formula>
    </cfRule>
  </conditionalFormatting>
  <conditionalFormatting sqref="AM25:AN26 AM30:AN35 AM28:AN28">
    <cfRule type="expression" dxfId="298" priority="525" stopIfTrue="1">
      <formula>TIPOORCAMENTO="PROPOSTO"</formula>
    </cfRule>
    <cfRule type="expression" dxfId="297" priority="526" stopIfTrue="1">
      <formula>$C25=1</formula>
    </cfRule>
    <cfRule type="expression" dxfId="296" priority="527" stopIfTrue="1">
      <formula>OR(AND(ISNUMBER($C25),$C25=0),$C25=2,$C25=3,$C25=4)</formula>
    </cfRule>
  </conditionalFormatting>
  <conditionalFormatting sqref="M36:M44">
    <cfRule type="cellIs" dxfId="295" priority="494" stopIfTrue="1" operator="notEqual">
      <formula>$N36</formula>
    </cfRule>
  </conditionalFormatting>
  <conditionalFormatting sqref="N36:O44 R36:R44 W36:X44">
    <cfRule type="expression" dxfId="294" priority="495" stopIfTrue="1">
      <formula>$C36=1</formula>
    </cfRule>
    <cfRule type="expression" dxfId="293" priority="496" stopIfTrue="1">
      <formula>OR($C36=0,$C36=2,$C36=3,$C36=4)</formula>
    </cfRule>
  </conditionalFormatting>
  <conditionalFormatting sqref="V36:V44">
    <cfRule type="expression" dxfId="292" priority="497" stopIfTrue="1">
      <formula>$C36=1</formula>
    </cfRule>
    <cfRule type="expression" dxfId="291" priority="498" stopIfTrue="1">
      <formula>OR($C36=0,$C36=2,$C36=3,$C36=4)</formula>
    </cfRule>
    <cfRule type="expression" dxfId="290" priority="499" stopIfTrue="1">
      <formula>AND(TIPOORCAMENTO="Licitado",$C36&lt;&gt;"L",$C36&lt;&gt;-1)</formula>
    </cfRule>
  </conditionalFormatting>
  <conditionalFormatting sqref="P36:Q44 S36:T44 Y36:Y44 AG36:AH44">
    <cfRule type="expression" dxfId="289" priority="500" stopIfTrue="1">
      <formula>$C36=1</formula>
    </cfRule>
    <cfRule type="expression" dxfId="288" priority="501" stopIfTrue="1">
      <formula>OR($C36=0,$C36=2,$C36=3,$C36=4)</formula>
    </cfRule>
  </conditionalFormatting>
  <conditionalFormatting sqref="AJ36:AJ44">
    <cfRule type="expression" dxfId="287" priority="502" stopIfTrue="1">
      <formula>OR(ACOMPANHAMENTO&lt;&gt;"BM",TIPOORCAMENTO="Licitado")</formula>
    </cfRule>
    <cfRule type="expression" dxfId="286" priority="503" stopIfTrue="1">
      <formula>$C36=1</formula>
    </cfRule>
    <cfRule type="expression" dxfId="285" priority="504" stopIfTrue="1">
      <formula>OR(AND(ISNUMBER($C36),$C36=0),$C36=2,$C36=3,$C36=4)</formula>
    </cfRule>
  </conditionalFormatting>
  <conditionalFormatting sqref="AL36:AL44">
    <cfRule type="expression" dxfId="284" priority="505" stopIfTrue="1">
      <formula>TIPOORCAMENTO="PROPOSTO"</formula>
    </cfRule>
    <cfRule type="expression" dxfId="283" priority="506" stopIfTrue="1">
      <formula>$C36=1</formula>
    </cfRule>
    <cfRule type="expression" dxfId="282" priority="507" stopIfTrue="1">
      <formula>OR(AND(ISNUMBER($C36),$C36=0),$C36=2,$C36=3,$C36=4)</formula>
    </cfRule>
  </conditionalFormatting>
  <conditionalFormatting sqref="AM36:AN44">
    <cfRule type="expression" dxfId="281" priority="508" stopIfTrue="1">
      <formula>TIPOORCAMENTO="PROPOSTO"</formula>
    </cfRule>
    <cfRule type="expression" dxfId="280" priority="509" stopIfTrue="1">
      <formula>$C36=1</formula>
    </cfRule>
    <cfRule type="expression" dxfId="279" priority="510" stopIfTrue="1">
      <formula>OR(AND(ISNUMBER($C36),$C36=0),$C36=2,$C36=3,$C36=4)</formula>
    </cfRule>
  </conditionalFormatting>
  <conditionalFormatting sqref="M29">
    <cfRule type="cellIs" dxfId="278" priority="52" stopIfTrue="1" operator="notEqual">
      <formula>$N29</formula>
    </cfRule>
  </conditionalFormatting>
  <conditionalFormatting sqref="N29:O29 R29 W29:X29">
    <cfRule type="expression" dxfId="277" priority="53" stopIfTrue="1">
      <formula>$C29=1</formula>
    </cfRule>
    <cfRule type="expression" dxfId="276" priority="54" stopIfTrue="1">
      <formula>OR($C29=0,$C29=2,$C29=3,$C29=4)</formula>
    </cfRule>
  </conditionalFormatting>
  <conditionalFormatting sqref="V29">
    <cfRule type="expression" dxfId="275" priority="55" stopIfTrue="1">
      <formula>$C29=1</formula>
    </cfRule>
    <cfRule type="expression" dxfId="274" priority="56" stopIfTrue="1">
      <formula>OR($C29=0,$C29=2,$C29=3,$C29=4)</formula>
    </cfRule>
    <cfRule type="expression" dxfId="273" priority="57" stopIfTrue="1">
      <formula>AND(TIPOORCAMENTO="Licitado",$C29&lt;&gt;"L",$C29&lt;&gt;-1)</formula>
    </cfRule>
  </conditionalFormatting>
  <conditionalFormatting sqref="P29:Q29 S29:T29 Y29 AG29:AH29">
    <cfRule type="expression" dxfId="272" priority="58" stopIfTrue="1">
      <formula>$C29=1</formula>
    </cfRule>
    <cfRule type="expression" dxfId="271" priority="59" stopIfTrue="1">
      <formula>OR($C29=0,$C29=2,$C29=3,$C29=4)</formula>
    </cfRule>
  </conditionalFormatting>
  <conditionalFormatting sqref="AJ29">
    <cfRule type="expression" dxfId="270" priority="60" stopIfTrue="1">
      <formula>OR(ACOMPANHAMENTO&lt;&gt;"BM",TIPOORCAMENTO="Licitado")</formula>
    </cfRule>
    <cfRule type="expression" dxfId="269" priority="61" stopIfTrue="1">
      <formula>$C29=1</formula>
    </cfRule>
    <cfRule type="expression" dxfId="268" priority="62" stopIfTrue="1">
      <formula>OR(AND(ISNUMBER($C29),$C29=0),$C29=2,$C29=3,$C29=4)</formula>
    </cfRule>
  </conditionalFormatting>
  <conditionalFormatting sqref="AL29">
    <cfRule type="expression" dxfId="267" priority="63" stopIfTrue="1">
      <formula>TIPOORCAMENTO="PROPOSTO"</formula>
    </cfRule>
    <cfRule type="expression" dxfId="266" priority="64" stopIfTrue="1">
      <formula>$C29=1</formula>
    </cfRule>
    <cfRule type="expression" dxfId="265" priority="65" stopIfTrue="1">
      <formula>OR(AND(ISNUMBER($C29),$C29=0),$C29=2,$C29=3,$C29=4)</formula>
    </cfRule>
  </conditionalFormatting>
  <conditionalFormatting sqref="AM29:AN29">
    <cfRule type="expression" dxfId="264" priority="66" stopIfTrue="1">
      <formula>TIPOORCAMENTO="PROPOSTO"</formula>
    </cfRule>
    <cfRule type="expression" dxfId="263" priority="67" stopIfTrue="1">
      <formula>$C29=1</formula>
    </cfRule>
    <cfRule type="expression" dxfId="262" priority="68" stopIfTrue="1">
      <formula>OR(AND(ISNUMBER($C29),$C29=0),$C29=2,$C29=3,$C29=4)</formula>
    </cfRule>
  </conditionalFormatting>
  <conditionalFormatting sqref="M27">
    <cfRule type="cellIs" dxfId="261" priority="35" stopIfTrue="1" operator="notEqual">
      <formula>$N27</formula>
    </cfRule>
  </conditionalFormatting>
  <conditionalFormatting sqref="N27:O27 R27 W27:X27">
    <cfRule type="expression" dxfId="260" priority="36" stopIfTrue="1">
      <formula>$C27=1</formula>
    </cfRule>
    <cfRule type="expression" dxfId="259" priority="37" stopIfTrue="1">
      <formula>OR($C27=0,$C27=2,$C27=3,$C27=4)</formula>
    </cfRule>
  </conditionalFormatting>
  <conditionalFormatting sqref="V27">
    <cfRule type="expression" dxfId="258" priority="38" stopIfTrue="1">
      <formula>$C27=1</formula>
    </cfRule>
    <cfRule type="expression" dxfId="257" priority="39" stopIfTrue="1">
      <formula>OR($C27=0,$C27=2,$C27=3,$C27=4)</formula>
    </cfRule>
    <cfRule type="expression" dxfId="256" priority="40" stopIfTrue="1">
      <formula>AND(TIPOORCAMENTO="Licitado",$C27&lt;&gt;"L",$C27&lt;&gt;-1)</formula>
    </cfRule>
  </conditionalFormatting>
  <conditionalFormatting sqref="P27:Q27 S27:T27 Y27 AG27:AH27">
    <cfRule type="expression" dxfId="255" priority="41" stopIfTrue="1">
      <formula>$C27=1</formula>
    </cfRule>
    <cfRule type="expression" dxfId="254" priority="42" stopIfTrue="1">
      <formula>OR($C27=0,$C27=2,$C27=3,$C27=4)</formula>
    </cfRule>
  </conditionalFormatting>
  <conditionalFormatting sqref="AJ27">
    <cfRule type="expression" dxfId="253" priority="43" stopIfTrue="1">
      <formula>OR(ACOMPANHAMENTO&lt;&gt;"BM",TIPOORCAMENTO="Licitado")</formula>
    </cfRule>
    <cfRule type="expression" dxfId="252" priority="44" stopIfTrue="1">
      <formula>$C27=1</formula>
    </cfRule>
    <cfRule type="expression" dxfId="251" priority="45" stopIfTrue="1">
      <formula>OR(AND(ISNUMBER($C27),$C27=0),$C27=2,$C27=3,$C27=4)</formula>
    </cfRule>
  </conditionalFormatting>
  <conditionalFormatting sqref="AL27">
    <cfRule type="expression" dxfId="250" priority="46" stopIfTrue="1">
      <formula>TIPOORCAMENTO="PROPOSTO"</formula>
    </cfRule>
    <cfRule type="expression" dxfId="249" priority="47" stopIfTrue="1">
      <formula>$C27=1</formula>
    </cfRule>
    <cfRule type="expression" dxfId="248" priority="48" stopIfTrue="1">
      <formula>OR(AND(ISNUMBER($C27),$C27=0),$C27=2,$C27=3,$C27=4)</formula>
    </cfRule>
  </conditionalFormatting>
  <conditionalFormatting sqref="AM27:AN27">
    <cfRule type="expression" dxfId="247" priority="49" stopIfTrue="1">
      <formula>TIPOORCAMENTO="PROPOSTO"</formula>
    </cfRule>
    <cfRule type="expression" dxfId="246" priority="50" stopIfTrue="1">
      <formula>$C27=1</formula>
    </cfRule>
    <cfRule type="expression" dxfId="245" priority="51" stopIfTrue="1">
      <formula>OR(AND(ISNUMBER($C27),$C27=0),$C27=2,$C27=3,$C27=4)</formula>
    </cfRule>
  </conditionalFormatting>
  <conditionalFormatting sqref="M57">
    <cfRule type="cellIs" dxfId="244" priority="1" stopIfTrue="1" operator="notEqual">
      <formula>$N57</formula>
    </cfRule>
  </conditionalFormatting>
  <conditionalFormatting sqref="N57:O57 R57 W57:X57">
    <cfRule type="expression" dxfId="243" priority="2" stopIfTrue="1">
      <formula>$C57=1</formula>
    </cfRule>
    <cfRule type="expression" dxfId="242" priority="3" stopIfTrue="1">
      <formula>OR($C57=0,$C57=2,$C57=3,$C57=4)</formula>
    </cfRule>
  </conditionalFormatting>
  <conditionalFormatting sqref="V57">
    <cfRule type="expression" dxfId="241" priority="4" stopIfTrue="1">
      <formula>$C57=1</formula>
    </cfRule>
    <cfRule type="expression" dxfId="240" priority="5" stopIfTrue="1">
      <formula>OR($C57=0,$C57=2,$C57=3,$C57=4)</formula>
    </cfRule>
    <cfRule type="expression" dxfId="239" priority="6" stopIfTrue="1">
      <formula>AND(TIPOORCAMENTO="Licitado",$C57&lt;&gt;"L",$C57&lt;&gt;-1)</formula>
    </cfRule>
  </conditionalFormatting>
  <conditionalFormatting sqref="P57:Q57 S57:T57 Y57 AG57:AH57">
    <cfRule type="expression" dxfId="238" priority="7" stopIfTrue="1">
      <formula>$C57=1</formula>
    </cfRule>
    <cfRule type="expression" dxfId="237" priority="8" stopIfTrue="1">
      <formula>OR($C57=0,$C57=2,$C57=3,$C57=4)</formula>
    </cfRule>
  </conditionalFormatting>
  <conditionalFormatting sqref="AJ57">
    <cfRule type="expression" dxfId="236" priority="9" stopIfTrue="1">
      <formula>OR(ACOMPANHAMENTO&lt;&gt;"BM",TIPOORCAMENTO="Licitado")</formula>
    </cfRule>
    <cfRule type="expression" dxfId="235" priority="10" stopIfTrue="1">
      <formula>$C57=1</formula>
    </cfRule>
    <cfRule type="expression" dxfId="234" priority="11" stopIfTrue="1">
      <formula>OR(AND(ISNUMBER($C57),$C57=0),$C57=2,$C57=3,$C57=4)</formula>
    </cfRule>
  </conditionalFormatting>
  <conditionalFormatting sqref="AL57">
    <cfRule type="expression" dxfId="233" priority="12" stopIfTrue="1">
      <formula>TIPOORCAMENTO="PROPOSTO"</formula>
    </cfRule>
    <cfRule type="expression" dxfId="232" priority="13" stopIfTrue="1">
      <formula>$C57=1</formula>
    </cfRule>
    <cfRule type="expression" dxfId="231" priority="14" stopIfTrue="1">
      <formula>OR(AND(ISNUMBER($C57),$C57=0),$C57=2,$C57=3,$C57=4)</formula>
    </cfRule>
  </conditionalFormatting>
  <conditionalFormatting sqref="AM57:AN57">
    <cfRule type="expression" dxfId="230" priority="15" stopIfTrue="1">
      <formula>TIPOORCAMENTO="PROPOSTO"</formula>
    </cfRule>
    <cfRule type="expression" dxfId="229" priority="16" stopIfTrue="1">
      <formula>$C57=1</formula>
    </cfRule>
    <cfRule type="expression" dxfId="228" priority="17" stopIfTrue="1">
      <formula>OR(AND(ISNUMBER($C57),$C57=0),$C57=2,$C57=3,$C57=4)</formula>
    </cfRule>
  </conditionalFormatting>
  <dataValidations count="7">
    <dataValidation type="decimal" operator="greaterThan" allowBlank="1" showErrorMessage="1" error="Apenas números decimais maiores que zero." sqref="U14 AL14 AJ14 AL16:AL57 U16:U57 AJ16:AJ57">
      <formula1>0</formula1>
      <formula2>0</formula2>
    </dataValidation>
    <dataValidation type="list" allowBlank="1" sqref="P14 P16:P57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57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57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57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57"/>
    <dataValidation allowBlank="1" showInputMessage="1" showErrorMessage="1" prompt="Para Orçamento Proposto, o Preço Unitário é resultado do produto do Custo Unitário pelo BDI._x000a_Para Orçamento Licitado, deve ser preenchido na Coluna AL." sqref="W14 W16:W57"/>
  </dataValidations>
  <pageMargins left="0.78740157480314998" right="0.78740157480314998" top="0.78740157480314998" bottom="0.78740157480314998" header="0.59055118110236204" footer="0.59055118110236204"/>
  <pageSetup paperSize="9" scale="67" firstPageNumber="0" fitToHeight="0" orientation="landscape" r:id="rId1"/>
  <headerFooter alignWithMargins="0">
    <oddHeader>&amp;C&amp;14I</oddHeader>
    <oddFooter>&amp;LPMv3.0.6&amp;R&amp;P / &amp;N</oddFooter>
  </headerFooter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457200</xdr:colOff>
                    <xdr:row>9</xdr:row>
                    <xdr:rowOff>123825</xdr:rowOff>
                  </from>
                  <to>
                    <xdr:col>19</xdr:col>
                    <xdr:colOff>895350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447675</xdr:colOff>
                    <xdr:row>9</xdr:row>
                    <xdr:rowOff>123825</xdr:rowOff>
                  </from>
                  <to>
                    <xdr:col>20</xdr:col>
                    <xdr:colOff>876300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285750</xdr:colOff>
                    <xdr:row>9</xdr:row>
                    <xdr:rowOff>123825</xdr:rowOff>
                  </from>
                  <to>
                    <xdr:col>21</xdr:col>
                    <xdr:colOff>704850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361950</xdr:colOff>
                    <xdr:row>9</xdr:row>
                    <xdr:rowOff>123825</xdr:rowOff>
                  </from>
                  <to>
                    <xdr:col>22</xdr:col>
                    <xdr:colOff>790575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447675</xdr:colOff>
                    <xdr:row>9</xdr:row>
                    <xdr:rowOff>104775</xdr:rowOff>
                  </from>
                  <to>
                    <xdr:col>23</xdr:col>
                    <xdr:colOff>876300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CM65326"/>
  <sheetViews>
    <sheetView showGridLines="0" view="pageBreakPreview" zoomScale="90" zoomScaleNormal="90" zoomScaleSheetLayoutView="90" workbookViewId="0">
      <pane xSplit="8" ySplit="15" topLeftCell="I43" activePane="bottomRight" state="frozen"/>
      <selection activeCell="C1" sqref="C1"/>
      <selection pane="topRight" activeCell="I1" sqref="I1"/>
      <selection pane="bottomLeft" activeCell="C16" sqref="C16"/>
      <selection pane="bottomRight" activeCell="F56" sqref="F56"/>
    </sheetView>
  </sheetViews>
  <sheetFormatPr defaultRowHeight="0" customHeight="1" zeroHeight="1" x14ac:dyDescent="0.2"/>
  <cols>
    <col min="1" max="2" width="0" style="9" hidden="1" customWidth="1"/>
    <col min="3" max="3" width="3.7109375" style="9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9" hidden="1" customWidth="1"/>
    <col min="14" max="14" width="31.7109375" customWidth="1"/>
    <col min="15" max="15" width="0" hidden="1" customWidth="1"/>
    <col min="16" max="16" width="1.7109375" customWidth="1"/>
    <col min="17" max="34" width="11.7109375" customWidth="1"/>
    <col min="35" max="35" width="0.140625" customWidth="1"/>
    <col min="36" max="45" width="9.140625" customWidth="1"/>
    <col min="46" max="53" width="9.140625" hidden="1" customWidth="1"/>
    <col min="54" max="64" width="9.140625" customWidth="1"/>
    <col min="65" max="72" width="9.140625" hidden="1" customWidth="1"/>
    <col min="73" max="83" width="9.140625" customWidth="1"/>
    <col min="84" max="91" width="9.140625" hidden="1" customWidth="1"/>
    <col min="92" max="92" width="1.7109375" customWidth="1"/>
  </cols>
  <sheetData>
    <row r="1" spans="1:91" ht="15.75" customHeight="1" x14ac:dyDescent="0.2">
      <c r="F1" s="719" t="str">
        <f>IF(ACOMPANHAMENTO="BM","MEMÓRIA DE CÁLCULO","PLQ - PLANILHA DE LEVANTAMENTO DE QUANTIDADES")</f>
        <v>PLQ - PLANILHA DE LEVANTAMENTO DE QUANTIDADES</v>
      </c>
      <c r="G1" s="719"/>
      <c r="H1" s="719"/>
      <c r="I1" s="180"/>
      <c r="K1" s="180"/>
      <c r="L1" s="180"/>
      <c r="M1" s="181"/>
      <c r="N1" s="180"/>
      <c r="P1" s="180"/>
      <c r="Q1" s="698" t="s">
        <v>140</v>
      </c>
      <c r="R1" s="698"/>
      <c r="Y1" s="698" t="s">
        <v>140</v>
      </c>
      <c r="Z1" s="698"/>
      <c r="AG1" s="698" t="s">
        <v>140</v>
      </c>
      <c r="AH1" s="698"/>
    </row>
    <row r="2" spans="1:91" ht="15" customHeight="1" x14ac:dyDescent="0.2">
      <c r="F2" s="720" t="str">
        <f>IF(ACOMPANHAMENTO="BM","","Memória de Cálculo")&amp;" - "&amp;import.recurso</f>
        <v>Memória de Cálculo - OGU</v>
      </c>
      <c r="G2" s="720"/>
      <c r="H2" s="720"/>
      <c r="I2" s="182"/>
      <c r="K2" s="182"/>
      <c r="L2" s="182"/>
      <c r="M2" s="183"/>
      <c r="N2" s="182"/>
      <c r="P2" s="182"/>
      <c r="Q2" s="699" t="s">
        <v>143</v>
      </c>
      <c r="R2" s="699"/>
      <c r="Y2" s="699" t="s">
        <v>143</v>
      </c>
      <c r="Z2" s="699"/>
      <c r="AG2" s="699" t="s">
        <v>143</v>
      </c>
      <c r="AH2" s="699"/>
    </row>
    <row r="3" spans="1:91" ht="12.75" customHeight="1" x14ac:dyDescent="0.2">
      <c r="AJ3" t="e">
        <f ca="1">ROUND(ROUND(OFFSET(#REF!,0,AJ$13),15-13*ORÇAMENTO!$AF$7)*OFFSET(ORÇAMENTO!$W$15,ROW(#REF!)-ROW(AJ$15),0),15-13*ORÇAMENTO!$AF$11)</f>
        <v>#REF!</v>
      </c>
      <c r="AK3" t="e">
        <f ca="1">ROUND(ROUND(OFFSET(#REF!,0,AK$13),15-13*ORÇAMENTO!$AF$7)*OFFSET(ORÇAMENTO!$W$15,ROW(#REF!)-ROW(AK$15),0),15-13*ORÇAMENTO!$AF$11)</f>
        <v>#REF!</v>
      </c>
      <c r="AL3" t="e">
        <f ca="1">ROUND(ROUND(OFFSET(#REF!,0,AL$13),15-13*ORÇAMENTO!$AF$7)*OFFSET(ORÇAMENTO!$W$15,ROW(#REF!)-ROW(AL$15),0),15-13*ORÇAMENTO!$AF$11)</f>
        <v>#REF!</v>
      </c>
      <c r="AM3" s="663" t="e">
        <f ca="1">SUM(AJ3:AL3)-SUM(#REF!)</f>
        <v>#REF!</v>
      </c>
      <c r="AT3" t="e">
        <f ca="1">ROUND(ROUND(OFFSET(#REF!,0,AT$13),15-13*ORÇAMENTO!$AF$7)*OFFSET(ORÇAMENTO!$W$15,ROW(#REF!)-ROW(AT$15),0),15-13*ORÇAMENTO!$AF$11)</f>
        <v>#REF!</v>
      </c>
      <c r="AU3" s="663" t="e">
        <f ca="1">SUM(AR3:AT3)-SUM(#REF!)</f>
        <v>#REF!</v>
      </c>
    </row>
    <row r="4" spans="1:91" ht="12.75" customHeight="1" x14ac:dyDescent="0.2">
      <c r="E4" s="694" t="s">
        <v>202</v>
      </c>
      <c r="F4" s="694"/>
      <c r="G4" s="694" t="s">
        <v>443</v>
      </c>
      <c r="H4" s="694"/>
      <c r="I4" s="112" t="s">
        <v>146</v>
      </c>
      <c r="K4" s="184" t="s">
        <v>147</v>
      </c>
      <c r="L4" s="185"/>
      <c r="M4" s="185"/>
      <c r="N4" s="185"/>
      <c r="O4" s="185"/>
      <c r="P4" s="185"/>
      <c r="Q4" s="185"/>
      <c r="R4" s="186"/>
      <c r="S4" s="694" t="s">
        <v>146</v>
      </c>
      <c r="T4" s="694"/>
      <c r="U4" s="694" t="s">
        <v>147</v>
      </c>
      <c r="V4" s="694"/>
      <c r="W4" s="694"/>
      <c r="X4" s="694"/>
      <c r="Y4" s="694"/>
      <c r="Z4" s="694"/>
      <c r="AA4" s="694" t="s">
        <v>146</v>
      </c>
      <c r="AB4" s="694"/>
      <c r="AC4" s="694" t="s">
        <v>147</v>
      </c>
      <c r="AD4" s="694"/>
      <c r="AE4" s="694"/>
      <c r="AF4" s="694"/>
      <c r="AG4" s="694"/>
      <c r="AH4" s="694"/>
    </row>
    <row r="5" spans="1:91" ht="12.75" customHeight="1" x14ac:dyDescent="0.2">
      <c r="E5" s="697" t="str">
        <f>Import.Apelido</f>
        <v xml:space="preserve">PAVIMENTAÇÃO ASFALTICA EM CBUQ DE DIVERSAS VIAS DO BAIRRO FUNCIONÁRIOS NO  MUNICIPIO DE SÃO FRANCISCO-MG </v>
      </c>
      <c r="F5" s="697"/>
      <c r="G5" s="697" t="str" cm="1">
        <f t="array" ref="G5">Import.TransfereGOV</f>
        <v>951453</v>
      </c>
      <c r="H5" s="697"/>
      <c r="I5" s="118" t="str">
        <f>Import.CR</f>
        <v>01090614-71</v>
      </c>
      <c r="K5" s="187" t="str">
        <f>Import.Proponente</f>
        <v>PREFEITURA MUNICIPAL DE SÃO FRANCISCO-MG</v>
      </c>
      <c r="L5" s="188"/>
      <c r="M5" s="130"/>
      <c r="N5" s="188"/>
      <c r="O5" s="188"/>
      <c r="P5" s="188"/>
      <c r="Q5" s="188"/>
      <c r="R5" s="119"/>
      <c r="S5" s="697" t="str">
        <f>Import.CR</f>
        <v>01090614-71</v>
      </c>
      <c r="T5" s="697"/>
      <c r="U5" s="697" t="str">
        <f>Import.Proponente</f>
        <v>PREFEITURA MUNICIPAL DE SÃO FRANCISCO-MG</v>
      </c>
      <c r="V5" s="697"/>
      <c r="W5" s="697"/>
      <c r="X5" s="697"/>
      <c r="Y5" s="697"/>
      <c r="Z5" s="697"/>
      <c r="AA5" s="697" t="str">
        <f>Import.CR</f>
        <v>01090614-71</v>
      </c>
      <c r="AB5" s="697"/>
      <c r="AC5" s="697" t="str">
        <f>Import.Proponente</f>
        <v>PREFEITURA MUNICIPAL DE SÃO FRANCISCO-MG</v>
      </c>
      <c r="AD5" s="697"/>
      <c r="AE5" s="697"/>
      <c r="AF5" s="697"/>
      <c r="AG5" s="697"/>
      <c r="AH5" s="697"/>
    </row>
    <row r="6" spans="1:91" ht="12.75" customHeight="1" x14ac:dyDescent="0.2">
      <c r="T6" s="663" t="e">
        <f ca="1">AM3</f>
        <v>#REF!</v>
      </c>
      <c r="AB6" s="663">
        <f>BC3</f>
        <v>0</v>
      </c>
      <c r="AJ6" t="s">
        <v>251</v>
      </c>
      <c r="BC6" t="s">
        <v>252</v>
      </c>
      <c r="BV6" t="s">
        <v>253</v>
      </c>
    </row>
    <row r="7" spans="1:91" ht="12.75" hidden="1" customHeight="1" x14ac:dyDescent="0.2"/>
    <row r="8" spans="1:91" ht="12.75" hidden="1" customHeight="1" x14ac:dyDescent="0.2"/>
    <row r="9" spans="1:91" ht="12.75" hidden="1" customHeight="1" x14ac:dyDescent="0.2"/>
    <row r="10" spans="1:91" ht="12.75" hidden="1" customHeight="1" x14ac:dyDescent="0.2"/>
    <row r="11" spans="1:91" ht="12.75" hidden="1" customHeight="1" x14ac:dyDescent="0.2"/>
    <row r="12" spans="1:91" ht="69.95" customHeight="1" x14ac:dyDescent="0.2">
      <c r="A12" s="189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2</v>
      </c>
      <c r="B12" s="9" t="s">
        <v>254</v>
      </c>
      <c r="H12" s="190"/>
      <c r="I12" s="191"/>
      <c r="J12" s="192" t="s">
        <v>255</v>
      </c>
      <c r="K12" s="193" t="s">
        <v>256</v>
      </c>
      <c r="L12" s="192" t="s">
        <v>255</v>
      </c>
      <c r="M12" s="194">
        <f ca="1">IF(ACOMPANHAMENTO="BM",0,COUNTIF(M15:M58,0))</f>
        <v>0</v>
      </c>
      <c r="N12" s="191" t="s">
        <v>257</v>
      </c>
      <c r="O12" s="195"/>
      <c r="P12" s="192" t="s">
        <v>255</v>
      </c>
      <c r="Q12" s="666" t="s">
        <v>486</v>
      </c>
      <c r="R12" s="195" t="s">
        <v>487</v>
      </c>
      <c r="S12" s="195" t="s">
        <v>488</v>
      </c>
      <c r="T12" s="195" t="s">
        <v>489</v>
      </c>
      <c r="U12" s="195" t="s">
        <v>490</v>
      </c>
      <c r="V12" s="195" t="s">
        <v>491</v>
      </c>
      <c r="W12" s="195" t="s">
        <v>492</v>
      </c>
      <c r="X12" s="195" t="s">
        <v>493</v>
      </c>
      <c r="Y12" s="196" t="s">
        <v>494</v>
      </c>
      <c r="Z12" s="195" t="s">
        <v>495</v>
      </c>
      <c r="AA12" s="195" t="s">
        <v>496</v>
      </c>
      <c r="AB12" s="195" t="s">
        <v>497</v>
      </c>
      <c r="AC12" s="195"/>
      <c r="AD12" s="195"/>
      <c r="AE12" s="195"/>
      <c r="AF12" s="195"/>
      <c r="AG12" s="195"/>
      <c r="AH12" s="196"/>
      <c r="AI12" s="192" t="s">
        <v>255</v>
      </c>
      <c r="AJ12" s="197" t="str">
        <f ca="1">OFFSET($P$12,0,AJ$13)</f>
        <v xml:space="preserve">RUA ALPIDIO CANABRAVA </v>
      </c>
      <c r="AK12" s="198" t="str">
        <f t="shared" ref="AK12:BA12" ca="1" si="0">OFFSET($P$12,0,AK$13)</f>
        <v>RUA UM TRECHO 01</v>
      </c>
      <c r="AL12" s="198" t="str">
        <f t="shared" ca="1" si="0"/>
        <v>RUA ARISTEU MACIEL T1</v>
      </c>
      <c r="AM12" s="198" t="str">
        <f t="shared" ca="1" si="0"/>
        <v>RUA D</v>
      </c>
      <c r="AN12" s="198" t="str">
        <f t="shared" ca="1" si="0"/>
        <v>RUA F</v>
      </c>
      <c r="AO12" s="198" t="str">
        <f t="shared" ca="1" si="0"/>
        <v>RUA PADRE NICOLAU</v>
      </c>
      <c r="AP12" s="198" t="str">
        <f t="shared" ca="1" si="0"/>
        <v xml:space="preserve">RUA SEM NOME </v>
      </c>
      <c r="AQ12" s="198" t="str">
        <f t="shared" ca="1" si="0"/>
        <v xml:space="preserve">RUA ASTROGILDO RODRIGUES CORDEIRO </v>
      </c>
      <c r="AR12" s="198" t="str">
        <f t="shared" ca="1" si="0"/>
        <v>RUA UM TRECHO 2</v>
      </c>
      <c r="AS12" s="199" t="str">
        <f t="shared" ca="1" si="0"/>
        <v>RUA ARISTEU MACIEL T2</v>
      </c>
      <c r="AT12" s="198" t="str">
        <f t="shared" ca="1" si="0"/>
        <v>RUA DEPUTADO JORGE VARGAS T1</v>
      </c>
      <c r="AU12" s="198" t="str">
        <f t="shared" ca="1" si="0"/>
        <v>RUA DEPUTADO JORGE VARGAS T2</v>
      </c>
      <c r="AV12" s="198">
        <f t="shared" ca="1" si="0"/>
        <v>0</v>
      </c>
      <c r="AW12" s="198">
        <f t="shared" ca="1" si="0"/>
        <v>0</v>
      </c>
      <c r="AX12" s="198">
        <f t="shared" ca="1" si="0"/>
        <v>0</v>
      </c>
      <c r="AY12" s="198">
        <f t="shared" ca="1" si="0"/>
        <v>0</v>
      </c>
      <c r="AZ12" s="198">
        <f t="shared" ca="1" si="0"/>
        <v>0</v>
      </c>
      <c r="BA12" s="199">
        <f t="shared" ca="1" si="0"/>
        <v>0</v>
      </c>
      <c r="BC12" s="197" t="str">
        <f ca="1">OFFSET($P$12,0,BC$13)</f>
        <v xml:space="preserve">RUA ALPIDIO CANABRAVA </v>
      </c>
      <c r="BD12" s="198" t="str">
        <f t="shared" ref="BD12:BT12" ca="1" si="1">OFFSET($P$12,0,BD$13)</f>
        <v>RUA UM TRECHO 01</v>
      </c>
      <c r="BE12" s="198" t="str">
        <f t="shared" ca="1" si="1"/>
        <v>RUA ARISTEU MACIEL T1</v>
      </c>
      <c r="BF12" s="198" t="str">
        <f t="shared" ca="1" si="1"/>
        <v>RUA D</v>
      </c>
      <c r="BG12" s="198" t="str">
        <f t="shared" ca="1" si="1"/>
        <v>RUA F</v>
      </c>
      <c r="BH12" s="198" t="str">
        <f t="shared" ca="1" si="1"/>
        <v>RUA PADRE NICOLAU</v>
      </c>
      <c r="BI12" s="198" t="str">
        <f t="shared" ca="1" si="1"/>
        <v xml:space="preserve">RUA SEM NOME </v>
      </c>
      <c r="BJ12" s="198" t="str">
        <f t="shared" ca="1" si="1"/>
        <v xml:space="preserve">RUA ASTROGILDO RODRIGUES CORDEIRO </v>
      </c>
      <c r="BK12" s="198" t="str">
        <f t="shared" ca="1" si="1"/>
        <v>RUA UM TRECHO 2</v>
      </c>
      <c r="BL12" s="199" t="str">
        <f t="shared" ca="1" si="1"/>
        <v>RUA ARISTEU MACIEL T2</v>
      </c>
      <c r="BM12" s="198" t="str">
        <f t="shared" ca="1" si="1"/>
        <v>RUA DEPUTADO JORGE VARGAS T1</v>
      </c>
      <c r="BN12" s="198" t="str">
        <f t="shared" ca="1" si="1"/>
        <v>RUA DEPUTADO JORGE VARGAS T2</v>
      </c>
      <c r="BO12" s="198">
        <f t="shared" ca="1" si="1"/>
        <v>0</v>
      </c>
      <c r="BP12" s="198">
        <f t="shared" ca="1" si="1"/>
        <v>0</v>
      </c>
      <c r="BQ12" s="198">
        <f t="shared" ca="1" si="1"/>
        <v>0</v>
      </c>
      <c r="BR12" s="198">
        <f t="shared" ca="1" si="1"/>
        <v>0</v>
      </c>
      <c r="BS12" s="198">
        <f t="shared" ca="1" si="1"/>
        <v>0</v>
      </c>
      <c r="BT12" s="199">
        <f t="shared" ca="1" si="1"/>
        <v>0</v>
      </c>
      <c r="BV12" s="197" t="str">
        <f ca="1">OFFSET($P$12,0,BV$13)</f>
        <v xml:space="preserve">RUA ALPIDIO CANABRAVA </v>
      </c>
      <c r="BW12" s="198" t="str">
        <f t="shared" ref="BW12:CM12" ca="1" si="2">OFFSET($P$12,0,BW$13)</f>
        <v>RUA UM TRECHO 01</v>
      </c>
      <c r="BX12" s="198" t="str">
        <f t="shared" ca="1" si="2"/>
        <v>RUA ARISTEU MACIEL T1</v>
      </c>
      <c r="BY12" s="198" t="str">
        <f t="shared" ca="1" si="2"/>
        <v>RUA D</v>
      </c>
      <c r="BZ12" s="198" t="str">
        <f t="shared" ca="1" si="2"/>
        <v>RUA F</v>
      </c>
      <c r="CA12" s="198" t="str">
        <f t="shared" ca="1" si="2"/>
        <v>RUA PADRE NICOLAU</v>
      </c>
      <c r="CB12" s="198" t="str">
        <f t="shared" ca="1" si="2"/>
        <v xml:space="preserve">RUA SEM NOME </v>
      </c>
      <c r="CC12" s="198" t="str">
        <f t="shared" ca="1" si="2"/>
        <v xml:space="preserve">RUA ASTROGILDO RODRIGUES CORDEIRO </v>
      </c>
      <c r="CD12" s="198" t="str">
        <f t="shared" ca="1" si="2"/>
        <v>RUA UM TRECHO 2</v>
      </c>
      <c r="CE12" s="199" t="str">
        <f t="shared" ca="1" si="2"/>
        <v>RUA ARISTEU MACIEL T2</v>
      </c>
      <c r="CF12" s="198" t="str">
        <f t="shared" ca="1" si="2"/>
        <v>RUA DEPUTADO JORGE VARGAS T1</v>
      </c>
      <c r="CG12" s="198" t="str">
        <f t="shared" ca="1" si="2"/>
        <v>RUA DEPUTADO JORGE VARGAS T2</v>
      </c>
      <c r="CH12" s="198">
        <f t="shared" ca="1" si="2"/>
        <v>0</v>
      </c>
      <c r="CI12" s="198">
        <f t="shared" ca="1" si="2"/>
        <v>0</v>
      </c>
      <c r="CJ12" s="198">
        <f t="shared" ca="1" si="2"/>
        <v>0</v>
      </c>
      <c r="CK12" s="198">
        <f t="shared" ca="1" si="2"/>
        <v>0</v>
      </c>
      <c r="CL12" s="198">
        <f t="shared" ca="1" si="2"/>
        <v>0</v>
      </c>
      <c r="CM12" s="199">
        <f t="shared" ca="1" si="2"/>
        <v>0</v>
      </c>
    </row>
    <row r="13" spans="1:91" ht="12.75" customHeight="1" x14ac:dyDescent="0.2">
      <c r="A13" s="200" t="s">
        <v>258</v>
      </c>
      <c r="B13" s="9" t="s">
        <v>254</v>
      </c>
      <c r="D13" s="137" t="s">
        <v>229</v>
      </c>
      <c r="E13" s="137" t="s">
        <v>231</v>
      </c>
      <c r="F13" s="137" t="s">
        <v>234</v>
      </c>
      <c r="G13" s="139" t="s">
        <v>235</v>
      </c>
      <c r="H13" s="137" t="s">
        <v>203</v>
      </c>
      <c r="I13" s="137" t="s">
        <v>259</v>
      </c>
      <c r="K13" s="137" t="s">
        <v>260</v>
      </c>
      <c r="L13" s="192"/>
      <c r="M13" s="137" t="s">
        <v>261</v>
      </c>
      <c r="N13" s="137" t="s">
        <v>262</v>
      </c>
      <c r="O13" s="201" t="e">
        <f ca="1">OFFSET(O13,0,-1)+1</f>
        <v>#VALUE!</v>
      </c>
      <c r="Q13" s="202">
        <f t="shared" ref="Q13:AH13" ca="1" si="3">OFFSET(Q13,0,-1)+1</f>
        <v>1</v>
      </c>
      <c r="R13" s="201">
        <f t="shared" ca="1" si="3"/>
        <v>2</v>
      </c>
      <c r="S13" s="201">
        <f t="shared" ca="1" si="3"/>
        <v>3</v>
      </c>
      <c r="T13" s="201">
        <f t="shared" ca="1" si="3"/>
        <v>4</v>
      </c>
      <c r="U13" s="201">
        <f t="shared" ca="1" si="3"/>
        <v>5</v>
      </c>
      <c r="V13" s="201">
        <f t="shared" ca="1" si="3"/>
        <v>6</v>
      </c>
      <c r="W13" s="201">
        <f t="shared" ca="1" si="3"/>
        <v>7</v>
      </c>
      <c r="X13" s="201">
        <f t="shared" ca="1" si="3"/>
        <v>8</v>
      </c>
      <c r="Y13" s="201">
        <f t="shared" ca="1" si="3"/>
        <v>9</v>
      </c>
      <c r="Z13" s="203">
        <f t="shared" ca="1" si="3"/>
        <v>10</v>
      </c>
      <c r="AA13" s="201">
        <f t="shared" ca="1" si="3"/>
        <v>11</v>
      </c>
      <c r="AB13" s="201">
        <f t="shared" ca="1" si="3"/>
        <v>12</v>
      </c>
      <c r="AC13" s="201">
        <f t="shared" ca="1" si="3"/>
        <v>13</v>
      </c>
      <c r="AD13" s="201">
        <f t="shared" ca="1" si="3"/>
        <v>14</v>
      </c>
      <c r="AE13" s="201">
        <f t="shared" ca="1" si="3"/>
        <v>15</v>
      </c>
      <c r="AF13" s="201">
        <f t="shared" ca="1" si="3"/>
        <v>16</v>
      </c>
      <c r="AG13" s="201">
        <f t="shared" ca="1" si="3"/>
        <v>17</v>
      </c>
      <c r="AH13" s="203">
        <f t="shared" ca="1" si="3"/>
        <v>18</v>
      </c>
      <c r="AJ13" s="143">
        <f t="shared" ref="AJ13:CM13" ca="1" si="4">OFFSET(AJ13,0,-1)+1</f>
        <v>1</v>
      </c>
      <c r="AK13" s="204">
        <f t="shared" ca="1" si="4"/>
        <v>2</v>
      </c>
      <c r="AL13" s="204">
        <f t="shared" ca="1" si="4"/>
        <v>3</v>
      </c>
      <c r="AM13" s="204">
        <f t="shared" ca="1" si="4"/>
        <v>4</v>
      </c>
      <c r="AN13" s="204">
        <f t="shared" ca="1" si="4"/>
        <v>5</v>
      </c>
      <c r="AO13" s="204">
        <f t="shared" ca="1" si="4"/>
        <v>6</v>
      </c>
      <c r="AP13" s="204">
        <f t="shared" ca="1" si="4"/>
        <v>7</v>
      </c>
      <c r="AQ13" s="204">
        <f t="shared" ca="1" si="4"/>
        <v>8</v>
      </c>
      <c r="AR13" s="204">
        <f t="shared" ca="1" si="4"/>
        <v>9</v>
      </c>
      <c r="AS13" s="205">
        <f t="shared" ca="1" si="4"/>
        <v>10</v>
      </c>
      <c r="AT13" s="204">
        <f t="shared" ca="1" si="4"/>
        <v>11</v>
      </c>
      <c r="AU13" s="204">
        <f t="shared" ca="1" si="4"/>
        <v>12</v>
      </c>
      <c r="AV13" s="204">
        <f t="shared" ca="1" si="4"/>
        <v>13</v>
      </c>
      <c r="AW13" s="204">
        <f t="shared" ca="1" si="4"/>
        <v>14</v>
      </c>
      <c r="AX13" s="204">
        <f t="shared" ca="1" si="4"/>
        <v>15</v>
      </c>
      <c r="AY13" s="204">
        <f t="shared" ca="1" si="4"/>
        <v>16</v>
      </c>
      <c r="AZ13" s="204">
        <f t="shared" ca="1" si="4"/>
        <v>17</v>
      </c>
      <c r="BA13" s="205">
        <f t="shared" ca="1" si="4"/>
        <v>18</v>
      </c>
      <c r="BC13" s="143">
        <f t="shared" ca="1" si="4"/>
        <v>1</v>
      </c>
      <c r="BD13" s="204">
        <f t="shared" ca="1" si="4"/>
        <v>2</v>
      </c>
      <c r="BE13" s="204">
        <f t="shared" ca="1" si="4"/>
        <v>3</v>
      </c>
      <c r="BF13" s="204">
        <f t="shared" ca="1" si="4"/>
        <v>4</v>
      </c>
      <c r="BG13" s="204">
        <f t="shared" ca="1" si="4"/>
        <v>5</v>
      </c>
      <c r="BH13" s="204">
        <f t="shared" ca="1" si="4"/>
        <v>6</v>
      </c>
      <c r="BI13" s="204">
        <f t="shared" ca="1" si="4"/>
        <v>7</v>
      </c>
      <c r="BJ13" s="204">
        <f t="shared" ca="1" si="4"/>
        <v>8</v>
      </c>
      <c r="BK13" s="204">
        <f t="shared" ca="1" si="4"/>
        <v>9</v>
      </c>
      <c r="BL13" s="205">
        <f t="shared" ca="1" si="4"/>
        <v>10</v>
      </c>
      <c r="BM13" s="204">
        <f t="shared" ca="1" si="4"/>
        <v>11</v>
      </c>
      <c r="BN13" s="204">
        <f t="shared" ca="1" si="4"/>
        <v>12</v>
      </c>
      <c r="BO13" s="204">
        <f t="shared" ca="1" si="4"/>
        <v>13</v>
      </c>
      <c r="BP13" s="204">
        <f t="shared" ca="1" si="4"/>
        <v>14</v>
      </c>
      <c r="BQ13" s="204">
        <f t="shared" ca="1" si="4"/>
        <v>15</v>
      </c>
      <c r="BR13" s="204">
        <f t="shared" ca="1" si="4"/>
        <v>16</v>
      </c>
      <c r="BS13" s="204">
        <f t="shared" ca="1" si="4"/>
        <v>17</v>
      </c>
      <c r="BT13" s="205">
        <f t="shared" ca="1" si="4"/>
        <v>18</v>
      </c>
      <c r="BV13" s="143">
        <f t="shared" ca="1" si="4"/>
        <v>1</v>
      </c>
      <c r="BW13" s="204">
        <f t="shared" ca="1" si="4"/>
        <v>2</v>
      </c>
      <c r="BX13" s="204">
        <f t="shared" ca="1" si="4"/>
        <v>3</v>
      </c>
      <c r="BY13" s="204">
        <f t="shared" ca="1" si="4"/>
        <v>4</v>
      </c>
      <c r="BZ13" s="204">
        <f t="shared" ca="1" si="4"/>
        <v>5</v>
      </c>
      <c r="CA13" s="204">
        <f t="shared" ca="1" si="4"/>
        <v>6</v>
      </c>
      <c r="CB13" s="204">
        <f t="shared" ca="1" si="4"/>
        <v>7</v>
      </c>
      <c r="CC13" s="204">
        <f t="shared" ca="1" si="4"/>
        <v>8</v>
      </c>
      <c r="CD13" s="204">
        <f t="shared" ca="1" si="4"/>
        <v>9</v>
      </c>
      <c r="CE13" s="205">
        <f t="shared" ca="1" si="4"/>
        <v>10</v>
      </c>
      <c r="CF13" s="204">
        <f t="shared" ca="1" si="4"/>
        <v>11</v>
      </c>
      <c r="CG13" s="204">
        <f t="shared" ca="1" si="4"/>
        <v>12</v>
      </c>
      <c r="CH13" s="204">
        <f t="shared" ca="1" si="4"/>
        <v>13</v>
      </c>
      <c r="CI13" s="204">
        <f t="shared" ca="1" si="4"/>
        <v>14</v>
      </c>
      <c r="CJ13" s="204">
        <f t="shared" ca="1" si="4"/>
        <v>15</v>
      </c>
      <c r="CK13" s="204">
        <f t="shared" ca="1" si="4"/>
        <v>16</v>
      </c>
      <c r="CL13" s="204">
        <f t="shared" ca="1" si="4"/>
        <v>17</v>
      </c>
      <c r="CM13" s="205">
        <f t="shared" ca="1" si="4"/>
        <v>18</v>
      </c>
    </row>
    <row r="14" spans="1:91" ht="12.75" hidden="1" x14ac:dyDescent="0.2">
      <c r="A14" s="9" t="str">
        <f ca="1">IF(AUTOEVENTO="Manual",IF(K14&lt;&gt;"",MIN(VALUE(LEFT(K14,FIND(".",K14)-1)),COUNTA(EVENTOS.Lista)),0),IF(OR($B14&gt;AUTOEVENTO,$B14="S",$B14=0),SUBSTITUTE(OFFSET($A14,-1,0),IF($D14="Serviço",".",""),""),ROW(A14)-ROW($A$15)&amp;"."))</f>
        <v>AUTOEVENTO</v>
      </c>
      <c r="B14" s="9" t="str">
        <f ca="1">OFFSET(ORÇAMENTO!C$15,ROW(B14)-ROW(B$15),0)</f>
        <v>S</v>
      </c>
      <c r="C14" s="9" t="str">
        <f ca="1">OFFSET(ORÇAMENTO!L$15,ROW(C14)-ROW(C$15),0)</f>
        <v/>
      </c>
      <c r="D14" s="146" t="str">
        <f ca="1">OFFSET(ORÇAMENTO!N$15,ROW(D14)-ROW(D$15),0)</f>
        <v>Serviço</v>
      </c>
      <c r="E14" s="206" t="str">
        <f ca="1">OFFSET(ORÇAMENTO!O$15,ROW(E14)-ROW(E$15),0)</f>
        <v>-</v>
      </c>
      <c r="F14" s="207" t="str">
        <f ca="1">OFFSET(ORÇAMENTO!R$15,ROW(F14)-ROW(F$15),0)</f>
        <v>(abra o arquivo 'Referência 12-2023.xlsm)</v>
      </c>
      <c r="G14" s="208" t="str">
        <f ca="1">IF($D14&lt;&gt;"Serviço","",OFFSET(ORÇAMENTO!S$15,ROW(G14)-ROW(G$15),0))</f>
        <v>-</v>
      </c>
      <c r="H14" s="152">
        <f ca="1">IF($D14&lt;&gt;"Serviço",0,IF(ACOMPANHAMENTO="BM",ROUND(OFFSET(ORÇAMENTO!AJ$15,ROW(H14)-ROW(H$15),0),15-13*ORÇAMENTO!$AF$7),SUMPRODUCT(($Q$12:$AI$12&lt;&gt;"")*ROUND($Q14:$AI14,15-13*ORÇAMENTO!$AF$7))))</f>
        <v>0</v>
      </c>
      <c r="I14" s="649"/>
      <c r="K14" s="209"/>
      <c r="L14" s="210" t="s">
        <v>255</v>
      </c>
      <c r="M14" s="211" t="str">
        <f ca="1">IF($D14&lt;&gt;"Serviço","",IF(AUTOEVENTO="manual",$A14,IF(ISERROR(MATCH($A14,$A$15:OFFSET($A14,-1,0),0)),MAX($M$15:OFFSET(M14,-1,0))+1,INDEX($M$15:OFFSET(M14,-1,0),MATCH($A14,$A$15:OFFSET($A14,-1,0),0)))))</f>
        <v># Evento</v>
      </c>
      <c r="N14" s="212" t="e">
        <f ca="1">IF($D14&lt;&gt;"Serviço","",IF(AUTOEVENTO="Manual",IF($A14=0,"&lt;-- defina o número do agrupador",OFFSET(EVENTOS!$D$14,$A14,0)),OFFSET($F$15,$A14,0)))</f>
        <v>#VALUE!</v>
      </c>
      <c r="O14" s="213"/>
      <c r="Q14" s="213"/>
      <c r="R14" s="214"/>
      <c r="S14" s="214"/>
      <c r="T14" s="214"/>
      <c r="U14" s="214"/>
      <c r="V14" s="214"/>
      <c r="W14" s="214"/>
      <c r="X14" s="214"/>
      <c r="Y14" s="214"/>
      <c r="Z14" s="215"/>
      <c r="AA14" s="214"/>
      <c r="AB14" s="214"/>
      <c r="AC14" s="214"/>
      <c r="AD14" s="214"/>
      <c r="AE14" s="214"/>
      <c r="AF14" s="214"/>
      <c r="AG14" s="214"/>
      <c r="AH14" s="215"/>
      <c r="AJ14" s="630">
        <f ca="1">IF(AND($D14="Serviço",AJ$12&lt;&gt;0,$H14&gt;0,OR(AUTOEVENTO&lt;&gt;"manual",$M14&lt;&gt;1)),
IF(Import.TipoArredondamento&lt;&gt;"TransfereGOV",
ROUND(OFFSET($P14,0,AJ$13),15-13*ORÇAMENTO!$AF$7)/$H14*OFFSET(ORÇAMENTO!$X$15,ROW(AJ14)-ROW(AJ$15),0),
ROUND(ROUND(OFFSET($P14,0,AJ$13),15-13*ORÇAMENTO!$AF$7)*OFFSET(ORÇAMENTO!$W$15,ROW(AJ14)-ROW(AJ$15),0),15-13*ORÇAMENTO!$AF$11)),0)</f>
        <v>0</v>
      </c>
      <c r="AK14" s="631">
        <f ca="1">IF(AND($D14="Serviço",AK$12&lt;&gt;0,$H14&gt;0,OR(AUTOEVENTO&lt;&gt;"manual",$M14&lt;&gt;1)),
IF(Import.TipoArredondamento&lt;&gt;"TransfereGOV",
ROUND(OFFSET($P14,0,AK$13),15-13*ORÇAMENTO!$AF$7)/$H14*OFFSET(ORÇAMENTO!$X$15,ROW(AK14)-ROW(AK$15),0),
ROUND(ROUND(OFFSET($P14,0,AK$13),15-13*ORÇAMENTO!$AF$7)*OFFSET(ORÇAMENTO!$W$15,ROW(AK14)-ROW(AK$15),0),15-13*ORÇAMENTO!$AF$11)),0)</f>
        <v>0</v>
      </c>
      <c r="AL14" s="631">
        <f ca="1">IF(AND($D14="Serviço",AL$12&lt;&gt;0,$H14&gt;0,OR(AUTOEVENTO&lt;&gt;"manual",$M14&lt;&gt;1)),
IF(Import.TipoArredondamento&lt;&gt;"TransfereGOV",
ROUND(OFFSET($P14,0,AL$13),15-13*ORÇAMENTO!$AF$7)/$H14*OFFSET(ORÇAMENTO!$X$15,ROW(AL14)-ROW(AL$15),0),
ROUND(ROUND(OFFSET($P14,0,AL$13),15-13*ORÇAMENTO!$AF$7)*OFFSET(ORÇAMENTO!$W$15,ROW(AL14)-ROW(AL$15),0),15-13*ORÇAMENTO!$AF$11)),0)</f>
        <v>0</v>
      </c>
      <c r="AM14" s="631">
        <f ca="1">IF(AND($D14="Serviço",AM$12&lt;&gt;0,$H14&gt;0,OR(AUTOEVENTO&lt;&gt;"manual",$M14&lt;&gt;1)),
IF(Import.TipoArredondamento&lt;&gt;"TransfereGOV",
ROUND(OFFSET($P14,0,AM$13),15-13*ORÇAMENTO!$AF$7)/$H14*OFFSET(ORÇAMENTO!$X$15,ROW(AM14)-ROW(AM$15),0),
ROUND(ROUND(OFFSET($P14,0,AM$13),15-13*ORÇAMENTO!$AF$7)*OFFSET(ORÇAMENTO!$W$15,ROW(AM14)-ROW(AM$15),0),15-13*ORÇAMENTO!$AF$11)),0)</f>
        <v>0</v>
      </c>
      <c r="AN14" s="631">
        <f ca="1">IF(AND($D14="Serviço",AN$12&lt;&gt;0,$H14&gt;0,OR(AUTOEVENTO&lt;&gt;"manual",$M14&lt;&gt;1)),
IF(Import.TipoArredondamento&lt;&gt;"TransfereGOV",
ROUND(OFFSET($P14,0,AN$13),15-13*ORÇAMENTO!$AF$7)/$H14*OFFSET(ORÇAMENTO!$X$15,ROW(AN14)-ROW(AN$15),0),
ROUND(ROUND(OFFSET($P14,0,AN$13),15-13*ORÇAMENTO!$AF$7)*OFFSET(ORÇAMENTO!$W$15,ROW(AN14)-ROW(AN$15),0),15-13*ORÇAMENTO!$AF$11)),0)</f>
        <v>0</v>
      </c>
      <c r="AO14" s="631">
        <f ca="1">IF(AND($D14="Serviço",AO$12&lt;&gt;0,$H14&gt;0,OR(AUTOEVENTO&lt;&gt;"manual",$M14&lt;&gt;1)),
IF(Import.TipoArredondamento&lt;&gt;"TransfereGOV",
ROUND(OFFSET($P14,0,AO$13),15-13*ORÇAMENTO!$AF$7)/$H14*OFFSET(ORÇAMENTO!$X$15,ROW(AO14)-ROW(AO$15),0),
ROUND(ROUND(OFFSET($P14,0,AO$13),15-13*ORÇAMENTO!$AF$7)*OFFSET(ORÇAMENTO!$W$15,ROW(AO14)-ROW(AO$15),0),15-13*ORÇAMENTO!$AF$11)),0)</f>
        <v>0</v>
      </c>
      <c r="AP14" s="631">
        <f ca="1">IF(AND($D14="Serviço",AP$12&lt;&gt;0,$H14&gt;0,OR(AUTOEVENTO&lt;&gt;"manual",$M14&lt;&gt;1)),
IF(Import.TipoArredondamento&lt;&gt;"TransfereGOV",
ROUND(OFFSET($P14,0,AP$13),15-13*ORÇAMENTO!$AF$7)/$H14*OFFSET(ORÇAMENTO!$X$15,ROW(AP14)-ROW(AP$15),0),
ROUND(ROUND(OFFSET($P14,0,AP$13),15-13*ORÇAMENTO!$AF$7)*OFFSET(ORÇAMENTO!$W$15,ROW(AP14)-ROW(AP$15),0),15-13*ORÇAMENTO!$AF$11)),0)</f>
        <v>0</v>
      </c>
      <c r="AQ14" s="631">
        <f ca="1">IF(AND($D14="Serviço",AQ$12&lt;&gt;0,$H14&gt;0,OR(AUTOEVENTO&lt;&gt;"manual",$M14&lt;&gt;1)),
IF(Import.TipoArredondamento&lt;&gt;"TransfereGOV",
ROUND(OFFSET($P14,0,AQ$13),15-13*ORÇAMENTO!$AF$7)/$H14*OFFSET(ORÇAMENTO!$X$15,ROW(AQ14)-ROW(AQ$15),0),
ROUND(ROUND(OFFSET($P14,0,AQ$13),15-13*ORÇAMENTO!$AF$7)*OFFSET(ORÇAMENTO!$W$15,ROW(AQ14)-ROW(AQ$15),0),15-13*ORÇAMENTO!$AF$11)),0)</f>
        <v>0</v>
      </c>
      <c r="AR14" s="631">
        <f ca="1">IF(AND($D14="Serviço",AR$12&lt;&gt;0,$H14&gt;0,OR(AUTOEVENTO&lt;&gt;"manual",$M14&lt;&gt;1)),
IF(Import.TipoArredondamento&lt;&gt;"TransfereGOV",
ROUND(OFFSET($P14,0,AR$13),15-13*ORÇAMENTO!$AF$7)/$H14*OFFSET(ORÇAMENTO!$X$15,ROW(AR14)-ROW(AR$15),0),
ROUND(ROUND(OFFSET($P14,0,AR$13),15-13*ORÇAMENTO!$AF$7)*OFFSET(ORÇAMENTO!$W$15,ROW(AR14)-ROW(AR$15),0),15-13*ORÇAMENTO!$AF$11)),0)</f>
        <v>0</v>
      </c>
      <c r="AS14" s="632">
        <f ca="1">IF(AND($D14="Serviço",AS$12&lt;&gt;0,$H14&gt;0,OR(AUTOEVENTO&lt;&gt;"manual",$M14&lt;&gt;1)),
IF(Import.TipoArredondamento&lt;&gt;"TransfereGOV",
ROUND(OFFSET($P14,0,AS$13),15-13*ORÇAMENTO!$AF$7)/$H14*OFFSET(ORÇAMENTO!$X$15,ROW(AS14)-ROW(AS$15),0),
ROUND(ROUND(OFFSET($P14,0,AS$13),15-13*ORÇAMENTO!$AF$7)*OFFSET(ORÇAMENTO!$W$15,ROW(AS14)-ROW(AS$15),0),15-13*ORÇAMENTO!$AF$11)),0)</f>
        <v>0</v>
      </c>
      <c r="AT14" s="631">
        <f ca="1">IF(AND($D14="Serviço",AT$12&lt;&gt;0,$H14&gt;0,OR(AUTOEVENTO&lt;&gt;"manual",$M14&lt;&gt;1)),
IF(Import.TipoArredondamento&lt;&gt;"TransfereGOV",
ROUND(OFFSET($P14,0,AT$13),15-13*ORÇAMENTO!$AF$7)/$H14*OFFSET(ORÇAMENTO!$X$15,ROW(AT14)-ROW(AT$15),0),
ROUND(ROUND(OFFSET($P14,0,AT$13),15-13*ORÇAMENTO!$AF$7)*OFFSET(ORÇAMENTO!$W$15,ROW(AT14)-ROW(AT$15),0),15-13*ORÇAMENTO!$AF$11)),0)</f>
        <v>0</v>
      </c>
      <c r="AU14" s="631">
        <f ca="1">IF(AND($D14="Serviço",AU$12&lt;&gt;0,$H14&gt;0,OR(AUTOEVENTO&lt;&gt;"manual",$M14&lt;&gt;1)),
IF(Import.TipoArredondamento&lt;&gt;"TransfereGOV",
ROUND(OFFSET($P14,0,AU$13),15-13*ORÇAMENTO!$AF$7)/$H14*OFFSET(ORÇAMENTO!$X$15,ROW(AU14)-ROW(AU$15),0),
ROUND(ROUND(OFFSET($P14,0,AU$13),15-13*ORÇAMENTO!$AF$7)*OFFSET(ORÇAMENTO!$W$15,ROW(AU14)-ROW(AU$15),0),15-13*ORÇAMENTO!$AF$11)),0)</f>
        <v>0</v>
      </c>
      <c r="AV14" s="631">
        <f ca="1">IF(AND($D14="Serviço",AV$12&lt;&gt;0,$H14&gt;0,OR(AUTOEVENTO&lt;&gt;"manual",$M14&lt;&gt;1)),
IF(Import.TipoArredondamento&lt;&gt;"TransfereGOV",
ROUND(OFFSET($P14,0,AV$13),15-13*ORÇAMENTO!$AF$7)/$H14*OFFSET(ORÇAMENTO!$X$15,ROW(AV14)-ROW(AV$15),0),
ROUND(ROUND(OFFSET($P14,0,AV$13),15-13*ORÇAMENTO!$AF$7)*OFFSET(ORÇAMENTO!$W$15,ROW(AV14)-ROW(AV$15),0),15-13*ORÇAMENTO!$AF$11)),0)</f>
        <v>0</v>
      </c>
      <c r="AW14" s="631">
        <f ca="1">IF(AND($D14="Serviço",AW$12&lt;&gt;0,$H14&gt;0,OR(AUTOEVENTO&lt;&gt;"manual",$M14&lt;&gt;1)),
IF(Import.TipoArredondamento&lt;&gt;"TransfereGOV",
ROUND(OFFSET($P14,0,AW$13),15-13*ORÇAMENTO!$AF$7)/$H14*OFFSET(ORÇAMENTO!$X$15,ROW(AW14)-ROW(AW$15),0),
ROUND(ROUND(OFFSET($P14,0,AW$13),15-13*ORÇAMENTO!$AF$7)*OFFSET(ORÇAMENTO!$W$15,ROW(AW14)-ROW(AW$15),0),15-13*ORÇAMENTO!$AF$11)),0)</f>
        <v>0</v>
      </c>
      <c r="AX14" s="631">
        <f ca="1">IF(AND($D14="Serviço",AX$12&lt;&gt;0,$H14&gt;0,OR(AUTOEVENTO&lt;&gt;"manual",$M14&lt;&gt;1)),
IF(Import.TipoArredondamento&lt;&gt;"TransfereGOV",
ROUND(OFFSET($P14,0,AX$13),15-13*ORÇAMENTO!$AF$7)/$H14*OFFSET(ORÇAMENTO!$X$15,ROW(AX14)-ROW(AX$15),0),
ROUND(ROUND(OFFSET($P14,0,AX$13),15-13*ORÇAMENTO!$AF$7)*OFFSET(ORÇAMENTO!$W$15,ROW(AX14)-ROW(AX$15),0),15-13*ORÇAMENTO!$AF$11)),0)</f>
        <v>0</v>
      </c>
      <c r="AY14" s="631">
        <f ca="1">IF(AND($D14="Serviço",AY$12&lt;&gt;0,$H14&gt;0,OR(AUTOEVENTO&lt;&gt;"manual",$M14&lt;&gt;1)),
IF(Import.TipoArredondamento&lt;&gt;"TransfereGOV",
ROUND(OFFSET($P14,0,AY$13),15-13*ORÇAMENTO!$AF$7)/$H14*OFFSET(ORÇAMENTO!$X$15,ROW(AY14)-ROW(AY$15),0),
ROUND(ROUND(OFFSET($P14,0,AY$13),15-13*ORÇAMENTO!$AF$7)*OFFSET(ORÇAMENTO!$W$15,ROW(AY14)-ROW(AY$15),0),15-13*ORÇAMENTO!$AF$11)),0)</f>
        <v>0</v>
      </c>
      <c r="AZ14" s="631">
        <f ca="1">IF(AND($D14="Serviço",AZ$12&lt;&gt;0,$H14&gt;0,OR(AUTOEVENTO&lt;&gt;"manual",$M14&lt;&gt;1)),
IF(Import.TipoArredondamento&lt;&gt;"TransfereGOV",
ROUND(OFFSET($P14,0,AZ$13),15-13*ORÇAMENTO!$AF$7)/$H14*OFFSET(ORÇAMENTO!$X$15,ROW(AZ14)-ROW(AZ$15),0),
ROUND(ROUND(OFFSET($P14,0,AZ$13),15-13*ORÇAMENTO!$AF$7)*OFFSET(ORÇAMENTO!$W$15,ROW(AZ14)-ROW(AZ$15),0),15-13*ORÇAMENTO!$AF$11)),0)</f>
        <v>0</v>
      </c>
      <c r="BA14" s="632">
        <f ca="1">IF(AND($D14="Serviço",BA$12&lt;&gt;0,$H14&gt;0,OR(AUTOEVENTO&lt;&gt;"manual",$M14&lt;&gt;1)),
IF(Import.TipoArredondamento&lt;&gt;"TransfereGOV",
ROUND(OFFSET($P14,0,BA$13),15-13*ORÇAMENTO!$AF$7)/$H14*OFFSET(ORÇAMENTO!$X$15,ROW(BA14)-ROW(BA$15),0),
ROUND(ROUND(OFFSET($P14,0,BA$13),15-13*ORÇAMENTO!$AF$7)*OFFSET(ORÇAMENTO!$W$15,ROW(BA14)-ROW(BA$15),0),15-13*ORÇAMENTO!$AF$11)),0)</f>
        <v>0</v>
      </c>
      <c r="BC14" s="216" t="e">
        <f ca="1">IF($D14&lt;&gt;"Serviço",0,IF(AND(AUTOEVENTO="Manual",$M14=1),0,IF(OFFSET(CRONOPLE!$F$14,$M14,BC$13)="",10^12,OFFSET(CRONOPLE!$F$14,$M14,BC$13))))</f>
        <v>#VALUE!</v>
      </c>
      <c r="BD14" s="216" t="e">
        <f ca="1">IF($D14&lt;&gt;"Serviço",0,IF(AND(AUTOEVENTO="Manual",$M14=1),0,IF(OFFSET(CRONOPLE!$F$14,$M14,BD$13)="",10^12,OFFSET(CRONOPLE!$F$14,$M14,BD$13))))</f>
        <v>#VALUE!</v>
      </c>
      <c r="BE14" s="216" t="e">
        <f ca="1">IF($D14&lt;&gt;"Serviço",0,IF(AND(AUTOEVENTO="Manual",$M14=1),0,IF(OFFSET(CRONOPLE!$F$14,$M14,BE$13)="",10^12,OFFSET(CRONOPLE!$F$14,$M14,BE$13))))</f>
        <v>#VALUE!</v>
      </c>
      <c r="BF14" s="216" t="e">
        <f ca="1">IF($D14&lt;&gt;"Serviço",0,IF(AND(AUTOEVENTO="Manual",$M14=1),0,IF(OFFSET(CRONOPLE!$F$14,$M14,BF$13)="",10^12,OFFSET(CRONOPLE!$F$14,$M14,BF$13))))</f>
        <v>#VALUE!</v>
      </c>
      <c r="BG14" s="216" t="e">
        <f ca="1">IF($D14&lt;&gt;"Serviço",0,IF(AND(AUTOEVENTO="Manual",$M14=1),0,IF(OFFSET(CRONOPLE!$F$14,$M14,BG$13)="",10^12,OFFSET(CRONOPLE!$F$14,$M14,BG$13))))</f>
        <v>#VALUE!</v>
      </c>
      <c r="BH14" s="216" t="e">
        <f ca="1">IF($D14&lt;&gt;"Serviço",0,IF(AND(AUTOEVENTO="Manual",$M14=1),0,IF(OFFSET(CRONOPLE!$F$14,$M14,BH$13)="",10^12,OFFSET(CRONOPLE!$F$14,$M14,BH$13))))</f>
        <v>#VALUE!</v>
      </c>
      <c r="BI14" s="216" t="e">
        <f ca="1">IF($D14&lt;&gt;"Serviço",0,IF(AND(AUTOEVENTO="Manual",$M14=1),0,IF(OFFSET(CRONOPLE!$F$14,$M14,BI$13)="",10^12,OFFSET(CRONOPLE!$F$14,$M14,BI$13))))</f>
        <v>#VALUE!</v>
      </c>
      <c r="BJ14" s="216" t="e">
        <f ca="1">IF($D14&lt;&gt;"Serviço",0,IF(AND(AUTOEVENTO="Manual",$M14=1),0,IF(OFFSET(CRONOPLE!$F$14,$M14,BJ$13)="",10^12,OFFSET(CRONOPLE!$F$14,$M14,BJ$13))))</f>
        <v>#VALUE!</v>
      </c>
      <c r="BK14" s="216" t="e">
        <f ca="1">IF($D14&lt;&gt;"Serviço",0,IF(AND(AUTOEVENTO="Manual",$M14=1),0,IF(OFFSET(CRONOPLE!$F$14,$M14,BK$13)="",10^12,OFFSET(CRONOPLE!$F$14,$M14,BK$13))))</f>
        <v>#VALUE!</v>
      </c>
      <c r="BL14" s="216" t="e">
        <f ca="1">IF($D14&lt;&gt;"Serviço",0,IF(AND(AUTOEVENTO="Manual",$M14=1),0,IF(OFFSET(CRONOPLE!$F$14,$M14,BL$13)="",10^12,OFFSET(CRONOPLE!$F$14,$M14,BL$13))))</f>
        <v>#VALUE!</v>
      </c>
      <c r="BM14" s="216" t="e">
        <f ca="1">IF($D14&lt;&gt;"Serviço",0,IF(AND(AUTOEVENTO="Manual",$M14=1),0,IF(OFFSET(CRONOPLE!$F$14,$M14,BM$13)="",10^12,OFFSET(CRONOPLE!$F$14,$M14,BM$13))))</f>
        <v>#VALUE!</v>
      </c>
      <c r="BN14" s="216" t="e">
        <f ca="1">IF($D14&lt;&gt;"Serviço",0,IF(AND(AUTOEVENTO="Manual",$M14=1),0,IF(OFFSET(CRONOPLE!$F$14,$M14,BN$13)="",10^12,OFFSET(CRONOPLE!$F$14,$M14,BN$13))))</f>
        <v>#VALUE!</v>
      </c>
      <c r="BO14" s="216" t="e">
        <f ca="1">IF($D14&lt;&gt;"Serviço",0,IF(AND(AUTOEVENTO="Manual",$M14=1),0,IF(OFFSET(CRONOPLE!$F$14,$M14,BO$13)="",10^12,OFFSET(CRONOPLE!$F$14,$M14,BO$13))))</f>
        <v>#VALUE!</v>
      </c>
      <c r="BP14" s="216" t="e">
        <f ca="1">IF($D14&lt;&gt;"Serviço",0,IF(AND(AUTOEVENTO="Manual",$M14=1),0,IF(OFFSET(CRONOPLE!$F$14,$M14,BP$13)="",10^12,OFFSET(CRONOPLE!$F$14,$M14,BP$13))))</f>
        <v>#VALUE!</v>
      </c>
      <c r="BQ14" s="216" t="e">
        <f ca="1">IF($D14&lt;&gt;"Serviço",0,IF(AND(AUTOEVENTO="Manual",$M14=1),0,IF(OFFSET(CRONOPLE!$F$14,$M14,BQ$13)="",10^12,OFFSET(CRONOPLE!$F$14,$M14,BQ$13))))</f>
        <v>#VALUE!</v>
      </c>
      <c r="BR14" s="216" t="e">
        <f ca="1">IF($D14&lt;&gt;"Serviço",0,IF(AND(AUTOEVENTO="Manual",$M14=1),0,IF(OFFSET(CRONOPLE!$F$14,$M14,BR$13)="",10^12,OFFSET(CRONOPLE!$F$14,$M14,BR$13))))</f>
        <v>#VALUE!</v>
      </c>
      <c r="BS14" s="216" t="e">
        <f ca="1">IF($D14&lt;&gt;"Serviço",0,IF(AND(AUTOEVENTO="Manual",$M14=1),0,IF(OFFSET(CRONOPLE!$F$14,$M14,BS$13)="",10^12,OFFSET(CRONOPLE!$F$14,$M14,BS$13))))</f>
        <v>#VALUE!</v>
      </c>
      <c r="BT14" s="216" t="e">
        <f ca="1">IF($D14&lt;&gt;"Serviço",0,IF(AND(AUTOEVENTO="Manual",$M14=1),0,IF(OFFSET(CRONOPLE!$F$14,$M14,BT$13)="",10^12,OFFSET(CRONOPLE!$F$14,$M14,BT$13))))</f>
        <v>#VALUE!</v>
      </c>
      <c r="BV14" s="217">
        <f ca="1">IF($D14&lt;&gt;"Serviço",0,IF(OR(AND(AUTOEVENTO="Manual",$M14=1),$M14&gt;(ROW(PLE.lastrow)-ROW(PLE.firstrow))),0,IF(OFFSET(PLE!$G$14,$M14,BV$13)="",10^12,OFFSET(PLE!$G$14,$M14,BV$13))))</f>
        <v>0</v>
      </c>
      <c r="BW14" s="217">
        <f ca="1">IF($D14&lt;&gt;"Serviço",0,IF(OR(AND(AUTOEVENTO="Manual",$M14=1),$M14&gt;(ROW(PLE.lastrow)-ROW(PLE.firstrow))),0,IF(OFFSET(PLE!$G$14,$M14,BW$13)="",10^12,OFFSET(PLE!$G$14,$M14,BW$13))))</f>
        <v>0</v>
      </c>
      <c r="BX14" s="217">
        <f ca="1">IF($D14&lt;&gt;"Serviço",0,IF(OR(AND(AUTOEVENTO="Manual",$M14=1),$M14&gt;(ROW(PLE.lastrow)-ROW(PLE.firstrow))),0,IF(OFFSET(PLE!$G$14,$M14,BX$13)="",10^12,OFFSET(PLE!$G$14,$M14,BX$13))))</f>
        <v>0</v>
      </c>
      <c r="BY14" s="217">
        <f ca="1">IF($D14&lt;&gt;"Serviço",0,IF(OR(AND(AUTOEVENTO="Manual",$M14=1),$M14&gt;(ROW(PLE.lastrow)-ROW(PLE.firstrow))),0,IF(OFFSET(PLE!$G$14,$M14,BY$13)="",10^12,OFFSET(PLE!$G$14,$M14,BY$13))))</f>
        <v>0</v>
      </c>
      <c r="BZ14" s="217">
        <f ca="1">IF($D14&lt;&gt;"Serviço",0,IF(OR(AND(AUTOEVENTO="Manual",$M14=1),$M14&gt;(ROW(PLE.lastrow)-ROW(PLE.firstrow))),0,IF(OFFSET(PLE!$G$14,$M14,BZ$13)="",10^12,OFFSET(PLE!$G$14,$M14,BZ$13))))</f>
        <v>0</v>
      </c>
      <c r="CA14" s="217">
        <f ca="1">IF($D14&lt;&gt;"Serviço",0,IF(OR(AND(AUTOEVENTO="Manual",$M14=1),$M14&gt;(ROW(PLE.lastrow)-ROW(PLE.firstrow))),0,IF(OFFSET(PLE!$G$14,$M14,CA$13)="",10^12,OFFSET(PLE!$G$14,$M14,CA$13))))</f>
        <v>0</v>
      </c>
      <c r="CB14" s="217">
        <f ca="1">IF($D14&lt;&gt;"Serviço",0,IF(OR(AND(AUTOEVENTO="Manual",$M14=1),$M14&gt;(ROW(PLE.lastrow)-ROW(PLE.firstrow))),0,IF(OFFSET(PLE!$G$14,$M14,CB$13)="",10^12,OFFSET(PLE!$G$14,$M14,CB$13))))</f>
        <v>0</v>
      </c>
      <c r="CC14" s="217">
        <f ca="1">IF($D14&lt;&gt;"Serviço",0,IF(OR(AND(AUTOEVENTO="Manual",$M14=1),$M14&gt;(ROW(PLE.lastrow)-ROW(PLE.firstrow))),0,IF(OFFSET(PLE!$G$14,$M14,CC$13)="",10^12,OFFSET(PLE!$G$14,$M14,CC$13))))</f>
        <v>0</v>
      </c>
      <c r="CD14" s="217">
        <f ca="1">IF($D14&lt;&gt;"Serviço",0,IF(OR(AND(AUTOEVENTO="Manual",$M14=1),$M14&gt;(ROW(PLE.lastrow)-ROW(PLE.firstrow))),0,IF(OFFSET(PLE!$G$14,$M14,CD$13)="",10^12,OFFSET(PLE!$G$14,$M14,CD$13))))</f>
        <v>0</v>
      </c>
      <c r="CE14" s="217">
        <f ca="1">IF($D14&lt;&gt;"Serviço",0,IF(OR(AND(AUTOEVENTO="Manual",$M14=1),$M14&gt;(ROW(PLE.lastrow)-ROW(PLE.firstrow))),0,IF(OFFSET(PLE!$G$14,$M14,CE$13)="",10^12,OFFSET(PLE!$G$14,$M14,CE$13))))</f>
        <v>0</v>
      </c>
      <c r="CF14" s="217">
        <f ca="1">IF($D14&lt;&gt;"Serviço",0,IF(OR(AND(AUTOEVENTO="Manual",$M14=1),$M14&gt;(ROW(PLE.lastrow)-ROW(PLE.firstrow))),0,IF(OFFSET(PLE!$G$14,$M14,CF$13)="",10^12,OFFSET(PLE!$G$14,$M14,CF$13))))</f>
        <v>0</v>
      </c>
      <c r="CG14" s="217">
        <f ca="1">IF($D14&lt;&gt;"Serviço",0,IF(OR(AND(AUTOEVENTO="Manual",$M14=1),$M14&gt;(ROW(PLE.lastrow)-ROW(PLE.firstrow))),0,IF(OFFSET(PLE!$G$14,$M14,CG$13)="",10^12,OFFSET(PLE!$G$14,$M14,CG$13))))</f>
        <v>0</v>
      </c>
      <c r="CH14" s="217">
        <f ca="1">IF($D14&lt;&gt;"Serviço",0,IF(OR(AND(AUTOEVENTO="Manual",$M14=1),$M14&gt;(ROW(PLE.lastrow)-ROW(PLE.firstrow))),0,IF(OFFSET(PLE!$G$14,$M14,CH$13)="",10^12,OFFSET(PLE!$G$14,$M14,CH$13))))</f>
        <v>0</v>
      </c>
      <c r="CI14" s="217">
        <f ca="1">IF($D14&lt;&gt;"Serviço",0,IF(OR(AND(AUTOEVENTO="Manual",$M14=1),$M14&gt;(ROW(PLE.lastrow)-ROW(PLE.firstrow))),0,IF(OFFSET(PLE!$G$14,$M14,CI$13)="",10^12,OFFSET(PLE!$G$14,$M14,CI$13))))</f>
        <v>0</v>
      </c>
      <c r="CJ14" s="217">
        <f ca="1">IF($D14&lt;&gt;"Serviço",0,IF(OR(AND(AUTOEVENTO="Manual",$M14=1),$M14&gt;(ROW(PLE.lastrow)-ROW(PLE.firstrow))),0,IF(OFFSET(PLE!$G$14,$M14,CJ$13)="",10^12,OFFSET(PLE!$G$14,$M14,CJ$13))))</f>
        <v>0</v>
      </c>
      <c r="CK14" s="217">
        <f ca="1">IF($D14&lt;&gt;"Serviço",0,IF(OR(AND(AUTOEVENTO="Manual",$M14=1),$M14&gt;(ROW(PLE.lastrow)-ROW(PLE.firstrow))),0,IF(OFFSET(PLE!$G$14,$M14,CK$13)="",10^12,OFFSET(PLE!$G$14,$M14,CK$13))))</f>
        <v>0</v>
      </c>
      <c r="CL14" s="217">
        <f ca="1">IF($D14&lt;&gt;"Serviço",0,IF(OR(AND(AUTOEVENTO="Manual",$M14=1),$M14&gt;(ROW(PLE.lastrow)-ROW(PLE.firstrow))),0,IF(OFFSET(PLE!$G$14,$M14,CL$13)="",10^12,OFFSET(PLE!$G$14,$M14,CL$13))))</f>
        <v>0</v>
      </c>
      <c r="CM14" s="217">
        <f ca="1">IF($D14&lt;&gt;"Serviço",0,IF(OR(AND(AUTOEVENTO="Manual",$M14=1),$M14&gt;(ROW(PLE.lastrow)-ROW(PLE.firstrow))),0,IF(OFFSET(PLE!$G$14,$M14,CM$13)="",10^12,OFFSET(PLE!$G$14,$M14,CM$13))))</f>
        <v>0</v>
      </c>
    </row>
    <row r="15" spans="1:91" ht="12.75" customHeight="1" x14ac:dyDescent="0.2">
      <c r="B15" s="9" t="str">
        <f ca="1">OFFSET(ORÇAMENTO!C$15,ROW(B15)-ROW(B$15),0)</f>
        <v>L</v>
      </c>
      <c r="C15" s="9" t="str">
        <f ca="1">OFFSET(ORÇAMENTO!L$15,ROW(C15)-ROW(C$15),0)</f>
        <v>F</v>
      </c>
      <c r="D15" s="161" t="str">
        <f>IF(TIPOORCAMENTO="LICITADO","CTEF","LOTE")</f>
        <v>LOTE</v>
      </c>
      <c r="E15" s="718" t="str">
        <f>Import.DescLote</f>
        <v xml:space="preserve">PAVIMENTAÇÃO ASFALTICA EM CBUQ DE DIVERSAS VIAS DO BAIRRO FUNCIONÁRIOS NO  MUNICIPIO DE SÃO FRANCISCO-MG  </v>
      </c>
      <c r="F15" s="718"/>
      <c r="G15" s="718"/>
      <c r="H15" s="718"/>
      <c r="I15" s="650"/>
      <c r="K15" s="218"/>
      <c r="L15" s="210" t="s">
        <v>255</v>
      </c>
      <c r="M15" s="219">
        <f ca="1">IF(AUTOEVENTO="MANUAL",0,1)</f>
        <v>1</v>
      </c>
      <c r="N15" s="220" t="s">
        <v>263</v>
      </c>
      <c r="O15" s="221" t="e">
        <f ca="1">OFFSET($AI$15,0,O$13)</f>
        <v>#VALUE!</v>
      </c>
      <c r="Q15" s="222">
        <f t="shared" ref="Q15:Z15" ca="1" si="5">OFFSET($AI$15,0,Q$13)</f>
        <v>0</v>
      </c>
      <c r="R15" s="221">
        <f t="shared" ca="1" si="5"/>
        <v>0</v>
      </c>
      <c r="S15" s="221">
        <f t="shared" ca="1" si="5"/>
        <v>0</v>
      </c>
      <c r="T15" s="221">
        <f t="shared" ca="1" si="5"/>
        <v>0</v>
      </c>
      <c r="U15" s="221">
        <f t="shared" ca="1" si="5"/>
        <v>0</v>
      </c>
      <c r="V15" s="221">
        <f t="shared" ca="1" si="5"/>
        <v>0</v>
      </c>
      <c r="W15" s="221">
        <f t="shared" ca="1" si="5"/>
        <v>0</v>
      </c>
      <c r="X15" s="221">
        <f t="shared" ca="1" si="5"/>
        <v>0</v>
      </c>
      <c r="Y15" s="221">
        <f t="shared" ca="1" si="5"/>
        <v>0</v>
      </c>
      <c r="Z15" s="223">
        <f t="shared" ca="1" si="5"/>
        <v>0</v>
      </c>
      <c r="AA15" s="221">
        <f t="shared" ref="AA15:AH15" ca="1" si="6">OFFSET($AI$15,0,AA$13)</f>
        <v>0</v>
      </c>
      <c r="AB15" s="221">
        <f t="shared" ca="1" si="6"/>
        <v>0</v>
      </c>
      <c r="AC15" s="221">
        <f t="shared" ca="1" si="6"/>
        <v>0</v>
      </c>
      <c r="AD15" s="221">
        <f t="shared" ca="1" si="6"/>
        <v>0</v>
      </c>
      <c r="AE15" s="221">
        <f t="shared" ca="1" si="6"/>
        <v>0</v>
      </c>
      <c r="AF15" s="221">
        <f t="shared" ca="1" si="6"/>
        <v>0</v>
      </c>
      <c r="AG15" s="221">
        <f t="shared" ca="1" si="6"/>
        <v>0</v>
      </c>
      <c r="AH15" s="223">
        <f t="shared" ca="1" si="6"/>
        <v>0</v>
      </c>
      <c r="AJ15" s="224">
        <f ca="1">ROUND(SUM(OFFSET(AJ$15,1,0):AJ$58),2)</f>
        <v>0</v>
      </c>
      <c r="AK15" s="224">
        <f ca="1">SUM(OFFSET(AK$15,1,0):AK$58)</f>
        <v>0</v>
      </c>
      <c r="AL15" s="224">
        <f ca="1">SUM(OFFSET(AL$15,1,0):AL$58)</f>
        <v>0</v>
      </c>
      <c r="AM15" s="224">
        <f ca="1">SUM(OFFSET(AM$15,1,0):AM$58)</f>
        <v>0</v>
      </c>
      <c r="AN15" s="224">
        <f ca="1">SUM(OFFSET(AN$15,1,0):AN$58)</f>
        <v>0</v>
      </c>
      <c r="AO15" s="224">
        <f ca="1">SUM(OFFSET(AO$15,1,0):AO$58)</f>
        <v>0</v>
      </c>
      <c r="AP15" s="224">
        <f ca="1">SUM(OFFSET(AP$15,1,0):AP$58)</f>
        <v>0</v>
      </c>
      <c r="AQ15" s="224">
        <f ca="1">SUM(OFFSET(AQ$15,1,0):AQ$58)</f>
        <v>0</v>
      </c>
      <c r="AR15" s="224">
        <f ca="1">SUM(OFFSET(AR$15,1,0):AR$58)</f>
        <v>0</v>
      </c>
      <c r="AS15" s="224">
        <f ca="1">SUM(OFFSET(AS$15,1,0):AS$58)</f>
        <v>0</v>
      </c>
      <c r="AT15" s="224">
        <f ca="1">SUM(OFFSET(AT$15,1,0):AT$58)</f>
        <v>0</v>
      </c>
      <c r="AU15" s="224">
        <f ca="1">SUM(OFFSET(AU$15,1,0):AU$58)</f>
        <v>0</v>
      </c>
      <c r="AV15" s="224">
        <f ca="1">SUM(OFFSET(AV$15,1,0):AV$58)</f>
        <v>0</v>
      </c>
      <c r="AW15" s="224">
        <f ca="1">SUM(OFFSET(AW$15,1,0):AW$58)</f>
        <v>0</v>
      </c>
      <c r="AX15" s="224">
        <f ca="1">SUM(OFFSET(AX$15,1,0):AX$58)</f>
        <v>0</v>
      </c>
      <c r="AY15" s="224">
        <f ca="1">SUM(OFFSET(AY$15,1,0):AY$58)</f>
        <v>0</v>
      </c>
      <c r="AZ15" s="224">
        <f ca="1">SUM(OFFSET(AZ$15,1,0):AZ$58)</f>
        <v>0</v>
      </c>
      <c r="BA15" s="224">
        <f ca="1">SUM(OFFSET(BA$15,1,0):BA$58)</f>
        <v>0</v>
      </c>
      <c r="BC15" s="225">
        <f>10^12</f>
        <v>1000000000000</v>
      </c>
      <c r="BD15" s="225">
        <f t="shared" ref="BD15:BT15" si="7">10^12</f>
        <v>1000000000000</v>
      </c>
      <c r="BE15" s="225">
        <f t="shared" si="7"/>
        <v>1000000000000</v>
      </c>
      <c r="BF15" s="225">
        <f t="shared" si="7"/>
        <v>1000000000000</v>
      </c>
      <c r="BG15" s="225">
        <f t="shared" si="7"/>
        <v>1000000000000</v>
      </c>
      <c r="BH15" s="225">
        <f t="shared" si="7"/>
        <v>1000000000000</v>
      </c>
      <c r="BI15" s="225">
        <f t="shared" si="7"/>
        <v>1000000000000</v>
      </c>
      <c r="BJ15" s="225">
        <f t="shared" si="7"/>
        <v>1000000000000</v>
      </c>
      <c r="BK15" s="225">
        <f t="shared" si="7"/>
        <v>1000000000000</v>
      </c>
      <c r="BL15" s="225">
        <f t="shared" si="7"/>
        <v>1000000000000</v>
      </c>
      <c r="BM15" s="225">
        <f t="shared" si="7"/>
        <v>1000000000000</v>
      </c>
      <c r="BN15" s="225">
        <f t="shared" si="7"/>
        <v>1000000000000</v>
      </c>
      <c r="BO15" s="225">
        <f t="shared" si="7"/>
        <v>1000000000000</v>
      </c>
      <c r="BP15" s="225">
        <f t="shared" si="7"/>
        <v>1000000000000</v>
      </c>
      <c r="BQ15" s="225">
        <f t="shared" si="7"/>
        <v>1000000000000</v>
      </c>
      <c r="BR15" s="225">
        <f t="shared" si="7"/>
        <v>1000000000000</v>
      </c>
      <c r="BS15" s="225">
        <f t="shared" si="7"/>
        <v>1000000000000</v>
      </c>
      <c r="BT15" s="225">
        <f t="shared" si="7"/>
        <v>1000000000000</v>
      </c>
      <c r="BV15" s="225">
        <f t="shared" ref="BV15:CM15" si="8">10^12</f>
        <v>1000000000000</v>
      </c>
      <c r="BW15" s="225">
        <f t="shared" si="8"/>
        <v>1000000000000</v>
      </c>
      <c r="BX15" s="225">
        <f t="shared" si="8"/>
        <v>1000000000000</v>
      </c>
      <c r="BY15" s="225">
        <f t="shared" si="8"/>
        <v>1000000000000</v>
      </c>
      <c r="BZ15" s="225">
        <f t="shared" si="8"/>
        <v>1000000000000</v>
      </c>
      <c r="CA15" s="225">
        <f t="shared" si="8"/>
        <v>1000000000000</v>
      </c>
      <c r="CB15" s="225">
        <f t="shared" si="8"/>
        <v>1000000000000</v>
      </c>
      <c r="CC15" s="225">
        <f t="shared" si="8"/>
        <v>1000000000000</v>
      </c>
      <c r="CD15" s="225">
        <f t="shared" si="8"/>
        <v>1000000000000</v>
      </c>
      <c r="CE15" s="225">
        <f t="shared" si="8"/>
        <v>1000000000000</v>
      </c>
      <c r="CF15" s="225">
        <f t="shared" si="8"/>
        <v>1000000000000</v>
      </c>
      <c r="CG15" s="225">
        <f t="shared" si="8"/>
        <v>1000000000000</v>
      </c>
      <c r="CH15" s="225">
        <f t="shared" si="8"/>
        <v>1000000000000</v>
      </c>
      <c r="CI15" s="225">
        <f t="shared" si="8"/>
        <v>1000000000000</v>
      </c>
      <c r="CJ15" s="225">
        <f t="shared" si="8"/>
        <v>1000000000000</v>
      </c>
      <c r="CK15" s="225">
        <f t="shared" si="8"/>
        <v>1000000000000</v>
      </c>
      <c r="CL15" s="225">
        <f t="shared" si="8"/>
        <v>1000000000000</v>
      </c>
      <c r="CM15" s="225">
        <f t="shared" si="8"/>
        <v>1000000000000</v>
      </c>
    </row>
    <row r="16" spans="1:91" ht="25.5" x14ac:dyDescent="0.2">
      <c r="A16" s="9" t="str">
        <f t="shared" ref="A16:A56" ca="1" si="9">IF(AUTOEVENTO="Manual",IF(K16&lt;&gt;"",MIN(VALUE(LEFT(K16,FIND(".",K16)-1)),COUNTA(EVENTOS.Lista)),0),IF(OR($B16&gt;AUTOEVENTO,$B16="S",$B16=0),SUBSTITUTE(OFFSET($A16,-1,0),IF($D16="Serviço",".",""),""),ROW(A16)-ROW($A$15)&amp;"."))</f>
        <v>1.</v>
      </c>
      <c r="B16" s="9">
        <f ca="1">OFFSET(ORÇAMENTO!C$15,ROW(B16)-ROW(B$15),0)</f>
        <v>1</v>
      </c>
      <c r="C16" s="9" t="str">
        <f ca="1">OFFSET(ORÇAMENTO!L$15,ROW(C16)-ROW(C$15),0)</f>
        <v>F</v>
      </c>
      <c r="D16" s="146" t="str">
        <f ca="1">OFFSET(ORÇAMENTO!N$15,ROW(D16)-ROW(D$15),0)</f>
        <v>Meta</v>
      </c>
      <c r="E16" s="206" t="str">
        <f ca="1">OFFSET(ORÇAMENTO!O$15,ROW(E16)-ROW(E$15),0)</f>
        <v>1.</v>
      </c>
      <c r="F16" s="207" t="str">
        <f ca="1">OFFSET(ORÇAMENTO!R$15,ROW(F16)-ROW(F$15),0)</f>
        <v xml:space="preserve">PAVIMENTAÇÃO  EM CBUQ DE DIVERSAS VIAS DO MUNICIPIO DE SÃO FRANCISCO-MG </v>
      </c>
      <c r="G16" s="208" t="str">
        <f ca="1">IF($D16&lt;&gt;"Serviço","",OFFSET(ORÇAMENTO!S$15,ROW(G16)-ROW(G$15),0))</f>
        <v/>
      </c>
      <c r="H16" s="152">
        <f ca="1">IF($D16&lt;&gt;"Serviço",0,IF(ACOMPANHAMENTO="BM",ROUND(OFFSET(ORÇAMENTO!AJ$15,ROW(H16)-ROW(H$15),0),15-13*ORÇAMENTO!$AF$7),SUMPRODUCT(($Q$12:$AI$12&lt;&gt;"")*ROUND($Q16:$AI16,15-13*ORÇAMENTO!$AF$7))))</f>
        <v>0</v>
      </c>
      <c r="I16" s="649"/>
      <c r="K16" s="209"/>
      <c r="L16" s="210" t="s">
        <v>255</v>
      </c>
      <c r="M16" s="211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212" t="str">
        <f ca="1">IF($D16&lt;&gt;"Serviço","",IF(AUTOEVENTO="Manual",IF($A16=0,"&lt;-- defina o número do agrupador",OFFSET(EVENTOS!$D$14,$A16,0)),OFFSET($F$15,$A16,0)))</f>
        <v/>
      </c>
      <c r="O16" s="213"/>
      <c r="Q16" s="213"/>
      <c r="R16" s="214"/>
      <c r="S16" s="214"/>
      <c r="T16" s="214"/>
      <c r="U16" s="214"/>
      <c r="V16" s="214"/>
      <c r="W16" s="214"/>
      <c r="X16" s="214"/>
      <c r="Y16" s="214"/>
      <c r="Z16" s="215"/>
      <c r="AA16" s="214"/>
      <c r="AB16" s="214"/>
      <c r="AC16" s="214"/>
      <c r="AD16" s="214"/>
      <c r="AE16" s="214"/>
      <c r="AF16" s="214"/>
      <c r="AG16" s="214"/>
      <c r="AH16" s="215"/>
      <c r="AJ16" s="630">
        <f ca="1">IF(AND($D16="Serviço",AJ$12&lt;&gt;0,$H16&gt;0,OR(AUTOEVENTO&lt;&gt;"manual",$M16&lt;&gt;1)),
IF(Import.TipoArredondamento&lt;&gt;"TransfereGOV",
ROUND(OFFSET($P16,0,AJ$13),15-13*ORÇAMENTO!$AF$7)/$H16*OFFSET(ORÇAMENTO!$X$15,ROW(AJ16)-ROW(AJ$15),0),
ROUND(ROUND(OFFSET($P16,0,AJ$13),15-13*ORÇAMENTO!$AF$7)*OFFSET(ORÇAMENTO!$W$15,ROW(AJ16)-ROW(AJ$15),0),15-13*ORÇAMENTO!$AF$11)),0)</f>
        <v>0</v>
      </c>
      <c r="AK16" s="631">
        <f ca="1">IF(AND($D16="Serviço",AK$12&lt;&gt;0,$H16&gt;0,OR(AUTOEVENTO&lt;&gt;"manual",$M16&lt;&gt;1)),
IF(Import.TipoArredondamento&lt;&gt;"TransfereGOV",
ROUND(OFFSET($P16,0,AK$13),15-13*ORÇAMENTO!$AF$7)/$H16*OFFSET(ORÇAMENTO!$X$15,ROW(AK16)-ROW(AK$15),0),
ROUND(ROUND(OFFSET($P16,0,AK$13),15-13*ORÇAMENTO!$AF$7)*OFFSET(ORÇAMENTO!$W$15,ROW(AK16)-ROW(AK$15),0),15-13*ORÇAMENTO!$AF$11)),0)</f>
        <v>0</v>
      </c>
      <c r="AL16" s="631">
        <f ca="1">IF(AND($D16="Serviço",AL$12&lt;&gt;0,$H16&gt;0,OR(AUTOEVENTO&lt;&gt;"manual",$M16&lt;&gt;1)),
IF(Import.TipoArredondamento&lt;&gt;"TransfereGOV",
ROUND(OFFSET($P16,0,AL$13),15-13*ORÇAMENTO!$AF$7)/$H16*OFFSET(ORÇAMENTO!$X$15,ROW(AL16)-ROW(AL$15),0),
ROUND(ROUND(OFFSET($P16,0,AL$13),15-13*ORÇAMENTO!$AF$7)*OFFSET(ORÇAMENTO!$W$15,ROW(AL16)-ROW(AL$15),0),15-13*ORÇAMENTO!$AF$11)),0)</f>
        <v>0</v>
      </c>
      <c r="AM16" s="631">
        <f ca="1">IF(AND($D16="Serviço",AM$12&lt;&gt;0,$H16&gt;0,OR(AUTOEVENTO&lt;&gt;"manual",$M16&lt;&gt;1)),
IF(Import.TipoArredondamento&lt;&gt;"TransfereGOV",
ROUND(OFFSET($P16,0,AM$13),15-13*ORÇAMENTO!$AF$7)/$H16*OFFSET(ORÇAMENTO!$X$15,ROW(AM16)-ROW(AM$15),0),
ROUND(ROUND(OFFSET($P16,0,AM$13),15-13*ORÇAMENTO!$AF$7)*OFFSET(ORÇAMENTO!$W$15,ROW(AM16)-ROW(AM$15),0),15-13*ORÇAMENTO!$AF$11)),0)</f>
        <v>0</v>
      </c>
      <c r="AN16" s="631">
        <f ca="1">IF(AND($D16="Serviço",AN$12&lt;&gt;0,$H16&gt;0,OR(AUTOEVENTO&lt;&gt;"manual",$M16&lt;&gt;1)),
IF(Import.TipoArredondamento&lt;&gt;"TransfereGOV",
ROUND(OFFSET($P16,0,AN$13),15-13*ORÇAMENTO!$AF$7)/$H16*OFFSET(ORÇAMENTO!$X$15,ROW(AN16)-ROW(AN$15),0),
ROUND(ROUND(OFFSET($P16,0,AN$13),15-13*ORÇAMENTO!$AF$7)*OFFSET(ORÇAMENTO!$W$15,ROW(AN16)-ROW(AN$15),0),15-13*ORÇAMENTO!$AF$11)),0)</f>
        <v>0</v>
      </c>
      <c r="AO16" s="631">
        <f ca="1">IF(AND($D16="Serviço",AO$12&lt;&gt;0,$H16&gt;0,OR(AUTOEVENTO&lt;&gt;"manual",$M16&lt;&gt;1)),
IF(Import.TipoArredondamento&lt;&gt;"TransfereGOV",
ROUND(OFFSET($P16,0,AO$13),15-13*ORÇAMENTO!$AF$7)/$H16*OFFSET(ORÇAMENTO!$X$15,ROW(AO16)-ROW(AO$15),0),
ROUND(ROUND(OFFSET($P16,0,AO$13),15-13*ORÇAMENTO!$AF$7)*OFFSET(ORÇAMENTO!$W$15,ROW(AO16)-ROW(AO$15),0),15-13*ORÇAMENTO!$AF$11)),0)</f>
        <v>0</v>
      </c>
      <c r="AP16" s="631">
        <f ca="1">IF(AND($D16="Serviço",AP$12&lt;&gt;0,$H16&gt;0,OR(AUTOEVENTO&lt;&gt;"manual",$M16&lt;&gt;1)),
IF(Import.TipoArredondamento&lt;&gt;"TransfereGOV",
ROUND(OFFSET($P16,0,AP$13),15-13*ORÇAMENTO!$AF$7)/$H16*OFFSET(ORÇAMENTO!$X$15,ROW(AP16)-ROW(AP$15),0),
ROUND(ROUND(OFFSET($P16,0,AP$13),15-13*ORÇAMENTO!$AF$7)*OFFSET(ORÇAMENTO!$W$15,ROW(AP16)-ROW(AP$15),0),15-13*ORÇAMENTO!$AF$11)),0)</f>
        <v>0</v>
      </c>
      <c r="AQ16" s="631">
        <f ca="1">IF(AND($D16="Serviço",AQ$12&lt;&gt;0,$H16&gt;0,OR(AUTOEVENTO&lt;&gt;"manual",$M16&lt;&gt;1)),
IF(Import.TipoArredondamento&lt;&gt;"TransfereGOV",
ROUND(OFFSET($P16,0,AQ$13),15-13*ORÇAMENTO!$AF$7)/$H16*OFFSET(ORÇAMENTO!$X$15,ROW(AQ16)-ROW(AQ$15),0),
ROUND(ROUND(OFFSET($P16,0,AQ$13),15-13*ORÇAMENTO!$AF$7)*OFFSET(ORÇAMENTO!$W$15,ROW(AQ16)-ROW(AQ$15),0),15-13*ORÇAMENTO!$AF$11)),0)</f>
        <v>0</v>
      </c>
      <c r="AR16" s="631">
        <f ca="1">IF(AND($D16="Serviço",AR$12&lt;&gt;0,$H16&gt;0,OR(AUTOEVENTO&lt;&gt;"manual",$M16&lt;&gt;1)),
IF(Import.TipoArredondamento&lt;&gt;"TransfereGOV",
ROUND(OFFSET($P16,0,AR$13),15-13*ORÇAMENTO!$AF$7)/$H16*OFFSET(ORÇAMENTO!$X$15,ROW(AR16)-ROW(AR$15),0),
ROUND(ROUND(OFFSET($P16,0,AR$13),15-13*ORÇAMENTO!$AF$7)*OFFSET(ORÇAMENTO!$W$15,ROW(AR16)-ROW(AR$15),0),15-13*ORÇAMENTO!$AF$11)),0)</f>
        <v>0</v>
      </c>
      <c r="AS16" s="632">
        <f ca="1">IF(AND($D16="Serviço",AS$12&lt;&gt;0,$H16&gt;0,OR(AUTOEVENTO&lt;&gt;"manual",$M16&lt;&gt;1)),
IF(Import.TipoArredondamento&lt;&gt;"TransfereGOV",
ROUND(OFFSET($P16,0,AS$13),15-13*ORÇAMENTO!$AF$7)/$H16*OFFSET(ORÇAMENTO!$X$15,ROW(AS16)-ROW(AS$15),0),
ROUND(ROUND(OFFSET($P16,0,AS$13),15-13*ORÇAMENTO!$AF$7)*OFFSET(ORÇAMENTO!$W$15,ROW(AS16)-ROW(AS$15),0),15-13*ORÇAMENTO!$AF$11)),0)</f>
        <v>0</v>
      </c>
      <c r="AT16" s="631">
        <f ca="1">IF(AND($D16="Serviço",AT$12&lt;&gt;0,$H16&gt;0,OR(AUTOEVENTO&lt;&gt;"manual",$M16&lt;&gt;1)),
IF(Import.TipoArredondamento&lt;&gt;"TransfereGOV",
ROUND(OFFSET($P16,0,AT$13),15-13*ORÇAMENTO!$AF$7)/$H16*OFFSET(ORÇAMENTO!$X$15,ROW(AT16)-ROW(AT$15),0),
ROUND(ROUND(OFFSET($P16,0,AT$13),15-13*ORÇAMENTO!$AF$7)*OFFSET(ORÇAMENTO!$W$15,ROW(AT16)-ROW(AT$15),0),15-13*ORÇAMENTO!$AF$11)),0)</f>
        <v>0</v>
      </c>
      <c r="AU16" s="631">
        <f ca="1">IF(AND($D16="Serviço",AU$12&lt;&gt;0,$H16&gt;0,OR(AUTOEVENTO&lt;&gt;"manual",$M16&lt;&gt;1)),
IF(Import.TipoArredondamento&lt;&gt;"TransfereGOV",
ROUND(OFFSET($P16,0,AU$13),15-13*ORÇAMENTO!$AF$7)/$H16*OFFSET(ORÇAMENTO!$X$15,ROW(AU16)-ROW(AU$15),0),
ROUND(ROUND(OFFSET($P16,0,AU$13),15-13*ORÇAMENTO!$AF$7)*OFFSET(ORÇAMENTO!$W$15,ROW(AU16)-ROW(AU$15),0),15-13*ORÇAMENTO!$AF$11)),0)</f>
        <v>0</v>
      </c>
      <c r="AV16" s="631">
        <f ca="1">IF(AND($D16="Serviço",AV$12&lt;&gt;0,$H16&gt;0,OR(AUTOEVENTO&lt;&gt;"manual",$M16&lt;&gt;1)),
IF(Import.TipoArredondamento&lt;&gt;"TransfereGOV",
ROUND(OFFSET($P16,0,AV$13),15-13*ORÇAMENTO!$AF$7)/$H16*OFFSET(ORÇAMENTO!$X$15,ROW(AV16)-ROW(AV$15),0),
ROUND(ROUND(OFFSET($P16,0,AV$13),15-13*ORÇAMENTO!$AF$7)*OFFSET(ORÇAMENTO!$W$15,ROW(AV16)-ROW(AV$15),0),15-13*ORÇAMENTO!$AF$11)),0)</f>
        <v>0</v>
      </c>
      <c r="AW16" s="631">
        <f ca="1">IF(AND($D16="Serviço",AW$12&lt;&gt;0,$H16&gt;0,OR(AUTOEVENTO&lt;&gt;"manual",$M16&lt;&gt;1)),
IF(Import.TipoArredondamento&lt;&gt;"TransfereGOV",
ROUND(OFFSET($P16,0,AW$13),15-13*ORÇAMENTO!$AF$7)/$H16*OFFSET(ORÇAMENTO!$X$15,ROW(AW16)-ROW(AW$15),0),
ROUND(ROUND(OFFSET($P16,0,AW$13),15-13*ORÇAMENTO!$AF$7)*OFFSET(ORÇAMENTO!$W$15,ROW(AW16)-ROW(AW$15),0),15-13*ORÇAMENTO!$AF$11)),0)</f>
        <v>0</v>
      </c>
      <c r="AX16" s="631">
        <f ca="1">IF(AND($D16="Serviço",AX$12&lt;&gt;0,$H16&gt;0,OR(AUTOEVENTO&lt;&gt;"manual",$M16&lt;&gt;1)),
IF(Import.TipoArredondamento&lt;&gt;"TransfereGOV",
ROUND(OFFSET($P16,0,AX$13),15-13*ORÇAMENTO!$AF$7)/$H16*OFFSET(ORÇAMENTO!$X$15,ROW(AX16)-ROW(AX$15),0),
ROUND(ROUND(OFFSET($P16,0,AX$13),15-13*ORÇAMENTO!$AF$7)*OFFSET(ORÇAMENTO!$W$15,ROW(AX16)-ROW(AX$15),0),15-13*ORÇAMENTO!$AF$11)),0)</f>
        <v>0</v>
      </c>
      <c r="AY16" s="631">
        <f ca="1">IF(AND($D16="Serviço",AY$12&lt;&gt;0,$H16&gt;0,OR(AUTOEVENTO&lt;&gt;"manual",$M16&lt;&gt;1)),
IF(Import.TipoArredondamento&lt;&gt;"TransfereGOV",
ROUND(OFFSET($P16,0,AY$13),15-13*ORÇAMENTO!$AF$7)/$H16*OFFSET(ORÇAMENTO!$X$15,ROW(AY16)-ROW(AY$15),0),
ROUND(ROUND(OFFSET($P16,0,AY$13),15-13*ORÇAMENTO!$AF$7)*OFFSET(ORÇAMENTO!$W$15,ROW(AY16)-ROW(AY$15),0),15-13*ORÇAMENTO!$AF$11)),0)</f>
        <v>0</v>
      </c>
      <c r="AZ16" s="631">
        <f ca="1">IF(AND($D16="Serviço",AZ$12&lt;&gt;0,$H16&gt;0,OR(AUTOEVENTO&lt;&gt;"manual",$M16&lt;&gt;1)),
IF(Import.TipoArredondamento&lt;&gt;"TransfereGOV",
ROUND(OFFSET($P16,0,AZ$13),15-13*ORÇAMENTO!$AF$7)/$H16*OFFSET(ORÇAMENTO!$X$15,ROW(AZ16)-ROW(AZ$15),0),
ROUND(ROUND(OFFSET($P16,0,AZ$13),15-13*ORÇAMENTO!$AF$7)*OFFSET(ORÇAMENTO!$W$15,ROW(AZ16)-ROW(AZ$15),0),15-13*ORÇAMENTO!$AF$11)),0)</f>
        <v>0</v>
      </c>
      <c r="BA16" s="632">
        <f ca="1">IF(AND($D16="Serviço",BA$12&lt;&gt;0,$H16&gt;0,OR(AUTOEVENTO&lt;&gt;"manual",$M16&lt;&gt;1)),
IF(Import.TipoArredondamento&lt;&gt;"TransfereGOV",
ROUND(OFFSET($P16,0,BA$13),15-13*ORÇAMENTO!$AF$7)/$H16*OFFSET(ORÇAMENTO!$X$15,ROW(BA16)-ROW(BA$15),0),
ROUND(ROUND(OFFSET($P16,0,BA$13),15-13*ORÇAMENTO!$AF$7)*OFFSET(ORÇAMENTO!$W$15,ROW(BA16)-ROW(BA$15),0),15-13*ORÇAMENTO!$AF$11)),0)</f>
        <v>0</v>
      </c>
      <c r="BC16" s="216">
        <f ca="1">IF($D16&lt;&gt;"Serviço",0,IF(AND(AUTOEVENTO="Manual",$M16=1),0,IF(OFFSET(CRONOPLE!$F$14,$M16,BC$13)="",10^12,OFFSET(CRONOPLE!$F$14,$M16,BC$13))))</f>
        <v>0</v>
      </c>
      <c r="BD16" s="216">
        <f ca="1">IF($D16&lt;&gt;"Serviço",0,IF(AND(AUTOEVENTO="Manual",$M16=1),0,IF(OFFSET(CRONOPLE!$F$14,$M16,BD$13)="",10^12,OFFSET(CRONOPLE!$F$14,$M16,BD$13))))</f>
        <v>0</v>
      </c>
      <c r="BE16" s="216">
        <f ca="1">IF($D16&lt;&gt;"Serviço",0,IF(AND(AUTOEVENTO="Manual",$M16=1),0,IF(OFFSET(CRONOPLE!$F$14,$M16,BE$13)="",10^12,OFFSET(CRONOPLE!$F$14,$M16,BE$13))))</f>
        <v>0</v>
      </c>
      <c r="BF16" s="216">
        <f ca="1">IF($D16&lt;&gt;"Serviço",0,IF(AND(AUTOEVENTO="Manual",$M16=1),0,IF(OFFSET(CRONOPLE!$F$14,$M16,BF$13)="",10^12,OFFSET(CRONOPLE!$F$14,$M16,BF$13))))</f>
        <v>0</v>
      </c>
      <c r="BG16" s="216">
        <f ca="1">IF($D16&lt;&gt;"Serviço",0,IF(AND(AUTOEVENTO="Manual",$M16=1),0,IF(OFFSET(CRONOPLE!$F$14,$M16,BG$13)="",10^12,OFFSET(CRONOPLE!$F$14,$M16,BG$13))))</f>
        <v>0</v>
      </c>
      <c r="BH16" s="216">
        <f ca="1">IF($D16&lt;&gt;"Serviço",0,IF(AND(AUTOEVENTO="Manual",$M16=1),0,IF(OFFSET(CRONOPLE!$F$14,$M16,BH$13)="",10^12,OFFSET(CRONOPLE!$F$14,$M16,BH$13))))</f>
        <v>0</v>
      </c>
      <c r="BI16" s="216">
        <f ca="1">IF($D16&lt;&gt;"Serviço",0,IF(AND(AUTOEVENTO="Manual",$M16=1),0,IF(OFFSET(CRONOPLE!$F$14,$M16,BI$13)="",10^12,OFFSET(CRONOPLE!$F$14,$M16,BI$13))))</f>
        <v>0</v>
      </c>
      <c r="BJ16" s="216">
        <f ca="1">IF($D16&lt;&gt;"Serviço",0,IF(AND(AUTOEVENTO="Manual",$M16=1),0,IF(OFFSET(CRONOPLE!$F$14,$M16,BJ$13)="",10^12,OFFSET(CRONOPLE!$F$14,$M16,BJ$13))))</f>
        <v>0</v>
      </c>
      <c r="BK16" s="216">
        <f ca="1">IF($D16&lt;&gt;"Serviço",0,IF(AND(AUTOEVENTO="Manual",$M16=1),0,IF(OFFSET(CRONOPLE!$F$14,$M16,BK$13)="",10^12,OFFSET(CRONOPLE!$F$14,$M16,BK$13))))</f>
        <v>0</v>
      </c>
      <c r="BL16" s="216">
        <f ca="1">IF($D16&lt;&gt;"Serviço",0,IF(AND(AUTOEVENTO="Manual",$M16=1),0,IF(OFFSET(CRONOPLE!$F$14,$M16,BL$13)="",10^12,OFFSET(CRONOPLE!$F$14,$M16,BL$13))))</f>
        <v>0</v>
      </c>
      <c r="BM16" s="216">
        <f ca="1">IF($D16&lt;&gt;"Serviço",0,IF(AND(AUTOEVENTO="Manual",$M16=1),0,IF(OFFSET(CRONOPLE!$F$14,$M16,BM$13)="",10^12,OFFSET(CRONOPLE!$F$14,$M16,BM$13))))</f>
        <v>0</v>
      </c>
      <c r="BN16" s="216">
        <f ca="1">IF($D16&lt;&gt;"Serviço",0,IF(AND(AUTOEVENTO="Manual",$M16=1),0,IF(OFFSET(CRONOPLE!$F$14,$M16,BN$13)="",10^12,OFFSET(CRONOPLE!$F$14,$M16,BN$13))))</f>
        <v>0</v>
      </c>
      <c r="BO16" s="216">
        <f ca="1">IF($D16&lt;&gt;"Serviço",0,IF(AND(AUTOEVENTO="Manual",$M16=1),0,IF(OFFSET(CRONOPLE!$F$14,$M16,BO$13)="",10^12,OFFSET(CRONOPLE!$F$14,$M16,BO$13))))</f>
        <v>0</v>
      </c>
      <c r="BP16" s="216">
        <f ca="1">IF($D16&lt;&gt;"Serviço",0,IF(AND(AUTOEVENTO="Manual",$M16=1),0,IF(OFFSET(CRONOPLE!$F$14,$M16,BP$13)="",10^12,OFFSET(CRONOPLE!$F$14,$M16,BP$13))))</f>
        <v>0</v>
      </c>
      <c r="BQ16" s="216">
        <f ca="1">IF($D16&lt;&gt;"Serviço",0,IF(AND(AUTOEVENTO="Manual",$M16=1),0,IF(OFFSET(CRONOPLE!$F$14,$M16,BQ$13)="",10^12,OFFSET(CRONOPLE!$F$14,$M16,BQ$13))))</f>
        <v>0</v>
      </c>
      <c r="BR16" s="216">
        <f ca="1">IF($D16&lt;&gt;"Serviço",0,IF(AND(AUTOEVENTO="Manual",$M16=1),0,IF(OFFSET(CRONOPLE!$F$14,$M16,BR$13)="",10^12,OFFSET(CRONOPLE!$F$14,$M16,BR$13))))</f>
        <v>0</v>
      </c>
      <c r="BS16" s="216">
        <f ca="1">IF($D16&lt;&gt;"Serviço",0,IF(AND(AUTOEVENTO="Manual",$M16=1),0,IF(OFFSET(CRONOPLE!$F$14,$M16,BS$13)="",10^12,OFFSET(CRONOPLE!$F$14,$M16,BS$13))))</f>
        <v>0</v>
      </c>
      <c r="BT16" s="216">
        <f ca="1">IF($D16&lt;&gt;"Serviço",0,IF(AND(AUTOEVENTO="Manual",$M16=1),0,IF(OFFSET(CRONOPLE!$F$14,$M16,BT$13)="",10^12,OFFSET(CRONOPLE!$F$14,$M16,BT$13))))</f>
        <v>0</v>
      </c>
      <c r="BV16" s="217">
        <f ca="1">IF($D16&lt;&gt;"Serviço",0,IF(OR(AND(AUTOEVENTO="Manual",$M16=1),$M16&gt;(ROW(PLE.lastrow)-ROW(PLE.firstrow))),0,IF(OFFSET(PLE!$G$14,$M16,BV$13)="",10^12,OFFSET(PLE!$G$14,$M16,BV$13))))</f>
        <v>0</v>
      </c>
      <c r="BW16" s="217">
        <f ca="1">IF($D16&lt;&gt;"Serviço",0,IF(OR(AND(AUTOEVENTO="Manual",$M16=1),$M16&gt;(ROW(PLE.lastrow)-ROW(PLE.firstrow))),0,IF(OFFSET(PLE!$G$14,$M16,BW$13)="",10^12,OFFSET(PLE!$G$14,$M16,BW$13))))</f>
        <v>0</v>
      </c>
      <c r="BX16" s="217">
        <f ca="1">IF($D16&lt;&gt;"Serviço",0,IF(OR(AND(AUTOEVENTO="Manual",$M16=1),$M16&gt;(ROW(PLE.lastrow)-ROW(PLE.firstrow))),0,IF(OFFSET(PLE!$G$14,$M16,BX$13)="",10^12,OFFSET(PLE!$G$14,$M16,BX$13))))</f>
        <v>0</v>
      </c>
      <c r="BY16" s="217">
        <f ca="1">IF($D16&lt;&gt;"Serviço",0,IF(OR(AND(AUTOEVENTO="Manual",$M16=1),$M16&gt;(ROW(PLE.lastrow)-ROW(PLE.firstrow))),0,IF(OFFSET(PLE!$G$14,$M16,BY$13)="",10^12,OFFSET(PLE!$G$14,$M16,BY$13))))</f>
        <v>0</v>
      </c>
      <c r="BZ16" s="217">
        <f ca="1">IF($D16&lt;&gt;"Serviço",0,IF(OR(AND(AUTOEVENTO="Manual",$M16=1),$M16&gt;(ROW(PLE.lastrow)-ROW(PLE.firstrow))),0,IF(OFFSET(PLE!$G$14,$M16,BZ$13)="",10^12,OFFSET(PLE!$G$14,$M16,BZ$13))))</f>
        <v>0</v>
      </c>
      <c r="CA16" s="217">
        <f ca="1">IF($D16&lt;&gt;"Serviço",0,IF(OR(AND(AUTOEVENTO="Manual",$M16=1),$M16&gt;(ROW(PLE.lastrow)-ROW(PLE.firstrow))),0,IF(OFFSET(PLE!$G$14,$M16,CA$13)="",10^12,OFFSET(PLE!$G$14,$M16,CA$13))))</f>
        <v>0</v>
      </c>
      <c r="CB16" s="217">
        <f ca="1">IF($D16&lt;&gt;"Serviço",0,IF(OR(AND(AUTOEVENTO="Manual",$M16=1),$M16&gt;(ROW(PLE.lastrow)-ROW(PLE.firstrow))),0,IF(OFFSET(PLE!$G$14,$M16,CB$13)="",10^12,OFFSET(PLE!$G$14,$M16,CB$13))))</f>
        <v>0</v>
      </c>
      <c r="CC16" s="217">
        <f ca="1">IF($D16&lt;&gt;"Serviço",0,IF(OR(AND(AUTOEVENTO="Manual",$M16=1),$M16&gt;(ROW(PLE.lastrow)-ROW(PLE.firstrow))),0,IF(OFFSET(PLE!$G$14,$M16,CC$13)="",10^12,OFFSET(PLE!$G$14,$M16,CC$13))))</f>
        <v>0</v>
      </c>
      <c r="CD16" s="217">
        <f ca="1">IF($D16&lt;&gt;"Serviço",0,IF(OR(AND(AUTOEVENTO="Manual",$M16=1),$M16&gt;(ROW(PLE.lastrow)-ROW(PLE.firstrow))),0,IF(OFFSET(PLE!$G$14,$M16,CD$13)="",10^12,OFFSET(PLE!$G$14,$M16,CD$13))))</f>
        <v>0</v>
      </c>
      <c r="CE16" s="217">
        <f ca="1">IF($D16&lt;&gt;"Serviço",0,IF(OR(AND(AUTOEVENTO="Manual",$M16=1),$M16&gt;(ROW(PLE.lastrow)-ROW(PLE.firstrow))),0,IF(OFFSET(PLE!$G$14,$M16,CE$13)="",10^12,OFFSET(PLE!$G$14,$M16,CE$13))))</f>
        <v>0</v>
      </c>
      <c r="CF16" s="217">
        <f ca="1">IF($D16&lt;&gt;"Serviço",0,IF(OR(AND(AUTOEVENTO="Manual",$M16=1),$M16&gt;(ROW(PLE.lastrow)-ROW(PLE.firstrow))),0,IF(OFFSET(PLE!$G$14,$M16,CF$13)="",10^12,OFFSET(PLE!$G$14,$M16,CF$13))))</f>
        <v>0</v>
      </c>
      <c r="CG16" s="217">
        <f ca="1">IF($D16&lt;&gt;"Serviço",0,IF(OR(AND(AUTOEVENTO="Manual",$M16=1),$M16&gt;(ROW(PLE.lastrow)-ROW(PLE.firstrow))),0,IF(OFFSET(PLE!$G$14,$M16,CG$13)="",10^12,OFFSET(PLE!$G$14,$M16,CG$13))))</f>
        <v>0</v>
      </c>
      <c r="CH16" s="217">
        <f ca="1">IF($D16&lt;&gt;"Serviço",0,IF(OR(AND(AUTOEVENTO="Manual",$M16=1),$M16&gt;(ROW(PLE.lastrow)-ROW(PLE.firstrow))),0,IF(OFFSET(PLE!$G$14,$M16,CH$13)="",10^12,OFFSET(PLE!$G$14,$M16,CH$13))))</f>
        <v>0</v>
      </c>
      <c r="CI16" s="217">
        <f ca="1">IF($D16&lt;&gt;"Serviço",0,IF(OR(AND(AUTOEVENTO="Manual",$M16=1),$M16&gt;(ROW(PLE.lastrow)-ROW(PLE.firstrow))),0,IF(OFFSET(PLE!$G$14,$M16,CI$13)="",10^12,OFFSET(PLE!$G$14,$M16,CI$13))))</f>
        <v>0</v>
      </c>
      <c r="CJ16" s="217">
        <f ca="1">IF($D16&lt;&gt;"Serviço",0,IF(OR(AND(AUTOEVENTO="Manual",$M16=1),$M16&gt;(ROW(PLE.lastrow)-ROW(PLE.firstrow))),0,IF(OFFSET(PLE!$G$14,$M16,CJ$13)="",10^12,OFFSET(PLE!$G$14,$M16,CJ$13))))</f>
        <v>0</v>
      </c>
      <c r="CK16" s="217">
        <f ca="1">IF($D16&lt;&gt;"Serviço",0,IF(OR(AND(AUTOEVENTO="Manual",$M16=1),$M16&gt;(ROW(PLE.lastrow)-ROW(PLE.firstrow))),0,IF(OFFSET(PLE!$G$14,$M16,CK$13)="",10^12,OFFSET(PLE!$G$14,$M16,CK$13))))</f>
        <v>0</v>
      </c>
      <c r="CL16" s="217">
        <f ca="1">IF($D16&lt;&gt;"Serviço",0,IF(OR(AND(AUTOEVENTO="Manual",$M16=1),$M16&gt;(ROW(PLE.lastrow)-ROW(PLE.firstrow))),0,IF(OFFSET(PLE!$G$14,$M16,CL$13)="",10^12,OFFSET(PLE!$G$14,$M16,CL$13))))</f>
        <v>0</v>
      </c>
      <c r="CM16" s="217">
        <f ca="1">IF($D16&lt;&gt;"Serviço",0,IF(OR(AND(AUTOEVENTO="Manual",$M16=1),$M16&gt;(ROW(PLE.lastrow)-ROW(PLE.firstrow))),0,IF(OFFSET(PLE!$G$14,$M16,CM$13)="",10^12,OFFSET(PLE!$G$14,$M16,CM$13))))</f>
        <v>0</v>
      </c>
    </row>
    <row r="17" spans="1:91" ht="12.75" x14ac:dyDescent="0.2">
      <c r="A17" s="9" t="str">
        <f t="shared" ca="1" si="9"/>
        <v>2.</v>
      </c>
      <c r="B17" s="9">
        <f ca="1">OFFSET(ORÇAMENTO!C$15,ROW(B17)-ROW(B$15),0)</f>
        <v>2</v>
      </c>
      <c r="C17" s="9" t="str">
        <f ca="1">OFFSET(ORÇAMENTO!L$15,ROW(C17)-ROW(C$15),0)</f>
        <v>F</v>
      </c>
      <c r="D17" s="146" t="str">
        <f ca="1">OFFSET(ORÇAMENTO!N$15,ROW(D17)-ROW(D$15),0)</f>
        <v>Nível 2</v>
      </c>
      <c r="E17" s="206" t="str">
        <f ca="1">OFFSET(ORÇAMENTO!O$15,ROW(E17)-ROW(E$15),0)</f>
        <v>1.1.</v>
      </c>
      <c r="F17" s="207" t="str">
        <f ca="1">OFFSET(ORÇAMENTO!R$15,ROW(F17)-ROW(F$15),0)</f>
        <v>SERVIÇOS PRELIMINARES</v>
      </c>
      <c r="G17" s="208" t="str">
        <f ca="1">IF($D17&lt;&gt;"Serviço","",OFFSET(ORÇAMENTO!S$15,ROW(G17)-ROW(G$15),0))</f>
        <v/>
      </c>
      <c r="H17" s="152">
        <f ca="1">IF($D17&lt;&gt;"Serviço",0,IF(ACOMPANHAMENTO="BM",ROUND(OFFSET(ORÇAMENTO!AJ$15,ROW(H17)-ROW(H$15),0),15-13*ORÇAMENTO!$AF$7),SUMPRODUCT(($Q$12:$AI$12&lt;&gt;"")*ROUND($Q17:$AI17,15-13*ORÇAMENTO!$AF$7))))</f>
        <v>0</v>
      </c>
      <c r="I17" s="649"/>
      <c r="K17" s="209"/>
      <c r="L17" s="210" t="s">
        <v>255</v>
      </c>
      <c r="M17" s="211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212" t="str">
        <f ca="1">IF($D17&lt;&gt;"Serviço","",IF(AUTOEVENTO="Manual",IF($A17=0,"&lt;-- defina o número do agrupador",OFFSET(EVENTOS!$D$14,$A17,0)),OFFSET($F$15,$A17,0)))</f>
        <v/>
      </c>
      <c r="O17" s="213"/>
      <c r="Q17" s="213"/>
      <c r="R17" s="214"/>
      <c r="S17" s="214"/>
      <c r="T17" s="214"/>
      <c r="U17" s="214"/>
      <c r="V17" s="214"/>
      <c r="W17" s="214"/>
      <c r="X17" s="214"/>
      <c r="Y17" s="214"/>
      <c r="Z17" s="215"/>
      <c r="AA17" s="214"/>
      <c r="AB17" s="214"/>
      <c r="AC17" s="214"/>
      <c r="AD17" s="214"/>
      <c r="AE17" s="214"/>
      <c r="AF17" s="214"/>
      <c r="AG17" s="214"/>
      <c r="AH17" s="215"/>
      <c r="AJ17" s="630">
        <f ca="1">IF(AND($D17="Serviço",AJ$12&lt;&gt;0,$H17&gt;0,OR(AUTOEVENTO&lt;&gt;"manual",$M17&lt;&gt;1)),
IF(Import.TipoArredondamento&lt;&gt;"TransfereGOV",
ROUND(OFFSET($P17,0,AJ$13),15-13*ORÇAMENTO!$AF$7)/$H17*OFFSET(ORÇAMENTO!$X$15,ROW(AJ17)-ROW(AJ$15),0),
ROUND(ROUND(OFFSET($P17,0,AJ$13),15-13*ORÇAMENTO!$AF$7)*OFFSET(ORÇAMENTO!$W$15,ROW(AJ17)-ROW(AJ$15),0),15-13*ORÇAMENTO!$AF$11)),0)</f>
        <v>0</v>
      </c>
      <c r="AK17" s="631">
        <f ca="1">IF(AND($D17="Serviço",AK$12&lt;&gt;0,$H17&gt;0,OR(AUTOEVENTO&lt;&gt;"manual",$M17&lt;&gt;1)),
IF(Import.TipoArredondamento&lt;&gt;"TransfereGOV",
ROUND(OFFSET($P17,0,AK$13),15-13*ORÇAMENTO!$AF$7)/$H17*OFFSET(ORÇAMENTO!$X$15,ROW(AK17)-ROW(AK$15),0),
ROUND(ROUND(OFFSET($P17,0,AK$13),15-13*ORÇAMENTO!$AF$7)*OFFSET(ORÇAMENTO!$W$15,ROW(AK17)-ROW(AK$15),0),15-13*ORÇAMENTO!$AF$11)),0)</f>
        <v>0</v>
      </c>
      <c r="AL17" s="631">
        <f ca="1">IF(AND($D17="Serviço",AL$12&lt;&gt;0,$H17&gt;0,OR(AUTOEVENTO&lt;&gt;"manual",$M17&lt;&gt;1)),
IF(Import.TipoArredondamento&lt;&gt;"TransfereGOV",
ROUND(OFFSET($P17,0,AL$13),15-13*ORÇAMENTO!$AF$7)/$H17*OFFSET(ORÇAMENTO!$X$15,ROW(AL17)-ROW(AL$15),0),
ROUND(ROUND(OFFSET($P17,0,AL$13),15-13*ORÇAMENTO!$AF$7)*OFFSET(ORÇAMENTO!$W$15,ROW(AL17)-ROW(AL$15),0),15-13*ORÇAMENTO!$AF$11)),0)</f>
        <v>0</v>
      </c>
      <c r="AM17" s="631">
        <f ca="1">IF(AND($D17="Serviço",AM$12&lt;&gt;0,$H17&gt;0,OR(AUTOEVENTO&lt;&gt;"manual",$M17&lt;&gt;1)),
IF(Import.TipoArredondamento&lt;&gt;"TransfereGOV",
ROUND(OFFSET($P17,0,AM$13),15-13*ORÇAMENTO!$AF$7)/$H17*OFFSET(ORÇAMENTO!$X$15,ROW(AM17)-ROW(AM$15),0),
ROUND(ROUND(OFFSET($P17,0,AM$13),15-13*ORÇAMENTO!$AF$7)*OFFSET(ORÇAMENTO!$W$15,ROW(AM17)-ROW(AM$15),0),15-13*ORÇAMENTO!$AF$11)),0)</f>
        <v>0</v>
      </c>
      <c r="AN17" s="631">
        <f ca="1">IF(AND($D17="Serviço",AN$12&lt;&gt;0,$H17&gt;0,OR(AUTOEVENTO&lt;&gt;"manual",$M17&lt;&gt;1)),
IF(Import.TipoArredondamento&lt;&gt;"TransfereGOV",
ROUND(OFFSET($P17,0,AN$13),15-13*ORÇAMENTO!$AF$7)/$H17*OFFSET(ORÇAMENTO!$X$15,ROW(AN17)-ROW(AN$15),0),
ROUND(ROUND(OFFSET($P17,0,AN$13),15-13*ORÇAMENTO!$AF$7)*OFFSET(ORÇAMENTO!$W$15,ROW(AN17)-ROW(AN$15),0),15-13*ORÇAMENTO!$AF$11)),0)</f>
        <v>0</v>
      </c>
      <c r="AO17" s="631">
        <f ca="1">IF(AND($D17="Serviço",AO$12&lt;&gt;0,$H17&gt;0,OR(AUTOEVENTO&lt;&gt;"manual",$M17&lt;&gt;1)),
IF(Import.TipoArredondamento&lt;&gt;"TransfereGOV",
ROUND(OFFSET($P17,0,AO$13),15-13*ORÇAMENTO!$AF$7)/$H17*OFFSET(ORÇAMENTO!$X$15,ROW(AO17)-ROW(AO$15),0),
ROUND(ROUND(OFFSET($P17,0,AO$13),15-13*ORÇAMENTO!$AF$7)*OFFSET(ORÇAMENTO!$W$15,ROW(AO17)-ROW(AO$15),0),15-13*ORÇAMENTO!$AF$11)),0)</f>
        <v>0</v>
      </c>
      <c r="AP17" s="631">
        <f ca="1">IF(AND($D17="Serviço",AP$12&lt;&gt;0,$H17&gt;0,OR(AUTOEVENTO&lt;&gt;"manual",$M17&lt;&gt;1)),
IF(Import.TipoArredondamento&lt;&gt;"TransfereGOV",
ROUND(OFFSET($P17,0,AP$13),15-13*ORÇAMENTO!$AF$7)/$H17*OFFSET(ORÇAMENTO!$X$15,ROW(AP17)-ROW(AP$15),0),
ROUND(ROUND(OFFSET($P17,0,AP$13),15-13*ORÇAMENTO!$AF$7)*OFFSET(ORÇAMENTO!$W$15,ROW(AP17)-ROW(AP$15),0),15-13*ORÇAMENTO!$AF$11)),0)</f>
        <v>0</v>
      </c>
      <c r="AQ17" s="631">
        <f ca="1">IF(AND($D17="Serviço",AQ$12&lt;&gt;0,$H17&gt;0,OR(AUTOEVENTO&lt;&gt;"manual",$M17&lt;&gt;1)),
IF(Import.TipoArredondamento&lt;&gt;"TransfereGOV",
ROUND(OFFSET($P17,0,AQ$13),15-13*ORÇAMENTO!$AF$7)/$H17*OFFSET(ORÇAMENTO!$X$15,ROW(AQ17)-ROW(AQ$15),0),
ROUND(ROUND(OFFSET($P17,0,AQ$13),15-13*ORÇAMENTO!$AF$7)*OFFSET(ORÇAMENTO!$W$15,ROW(AQ17)-ROW(AQ$15),0),15-13*ORÇAMENTO!$AF$11)),0)</f>
        <v>0</v>
      </c>
      <c r="AR17" s="631">
        <f ca="1">IF(AND($D17="Serviço",AR$12&lt;&gt;0,$H17&gt;0,OR(AUTOEVENTO&lt;&gt;"manual",$M17&lt;&gt;1)),
IF(Import.TipoArredondamento&lt;&gt;"TransfereGOV",
ROUND(OFFSET($P17,0,AR$13),15-13*ORÇAMENTO!$AF$7)/$H17*OFFSET(ORÇAMENTO!$X$15,ROW(AR17)-ROW(AR$15),0),
ROUND(ROUND(OFFSET($P17,0,AR$13),15-13*ORÇAMENTO!$AF$7)*OFFSET(ORÇAMENTO!$W$15,ROW(AR17)-ROW(AR$15),0),15-13*ORÇAMENTO!$AF$11)),0)</f>
        <v>0</v>
      </c>
      <c r="AS17" s="632">
        <f ca="1">IF(AND($D17="Serviço",AS$12&lt;&gt;0,$H17&gt;0,OR(AUTOEVENTO&lt;&gt;"manual",$M17&lt;&gt;1)),
IF(Import.TipoArredondamento&lt;&gt;"TransfereGOV",
ROUND(OFFSET($P17,0,AS$13),15-13*ORÇAMENTO!$AF$7)/$H17*OFFSET(ORÇAMENTO!$X$15,ROW(AS17)-ROW(AS$15),0),
ROUND(ROUND(OFFSET($P17,0,AS$13),15-13*ORÇAMENTO!$AF$7)*OFFSET(ORÇAMENTO!$W$15,ROW(AS17)-ROW(AS$15),0),15-13*ORÇAMENTO!$AF$11)),0)</f>
        <v>0</v>
      </c>
      <c r="AT17" s="631">
        <f ca="1">IF(AND($D17="Serviço",AT$12&lt;&gt;0,$H17&gt;0,OR(AUTOEVENTO&lt;&gt;"manual",$M17&lt;&gt;1)),
IF(Import.TipoArredondamento&lt;&gt;"TransfereGOV",
ROUND(OFFSET($P17,0,AT$13),15-13*ORÇAMENTO!$AF$7)/$H17*OFFSET(ORÇAMENTO!$X$15,ROW(AT17)-ROW(AT$15),0),
ROUND(ROUND(OFFSET($P17,0,AT$13),15-13*ORÇAMENTO!$AF$7)*OFFSET(ORÇAMENTO!$W$15,ROW(AT17)-ROW(AT$15),0),15-13*ORÇAMENTO!$AF$11)),0)</f>
        <v>0</v>
      </c>
      <c r="AU17" s="631">
        <f ca="1">IF(AND($D17="Serviço",AU$12&lt;&gt;0,$H17&gt;0,OR(AUTOEVENTO&lt;&gt;"manual",$M17&lt;&gt;1)),
IF(Import.TipoArredondamento&lt;&gt;"TransfereGOV",
ROUND(OFFSET($P17,0,AU$13),15-13*ORÇAMENTO!$AF$7)/$H17*OFFSET(ORÇAMENTO!$X$15,ROW(AU17)-ROW(AU$15),0),
ROUND(ROUND(OFFSET($P17,0,AU$13),15-13*ORÇAMENTO!$AF$7)*OFFSET(ORÇAMENTO!$W$15,ROW(AU17)-ROW(AU$15),0),15-13*ORÇAMENTO!$AF$11)),0)</f>
        <v>0</v>
      </c>
      <c r="AV17" s="631">
        <f ca="1">IF(AND($D17="Serviço",AV$12&lt;&gt;0,$H17&gt;0,OR(AUTOEVENTO&lt;&gt;"manual",$M17&lt;&gt;1)),
IF(Import.TipoArredondamento&lt;&gt;"TransfereGOV",
ROUND(OFFSET($P17,0,AV$13),15-13*ORÇAMENTO!$AF$7)/$H17*OFFSET(ORÇAMENTO!$X$15,ROW(AV17)-ROW(AV$15),0),
ROUND(ROUND(OFFSET($P17,0,AV$13),15-13*ORÇAMENTO!$AF$7)*OFFSET(ORÇAMENTO!$W$15,ROW(AV17)-ROW(AV$15),0),15-13*ORÇAMENTO!$AF$11)),0)</f>
        <v>0</v>
      </c>
      <c r="AW17" s="631">
        <f ca="1">IF(AND($D17="Serviço",AW$12&lt;&gt;0,$H17&gt;0,OR(AUTOEVENTO&lt;&gt;"manual",$M17&lt;&gt;1)),
IF(Import.TipoArredondamento&lt;&gt;"TransfereGOV",
ROUND(OFFSET($P17,0,AW$13),15-13*ORÇAMENTO!$AF$7)/$H17*OFFSET(ORÇAMENTO!$X$15,ROW(AW17)-ROW(AW$15),0),
ROUND(ROUND(OFFSET($P17,0,AW$13),15-13*ORÇAMENTO!$AF$7)*OFFSET(ORÇAMENTO!$W$15,ROW(AW17)-ROW(AW$15),0),15-13*ORÇAMENTO!$AF$11)),0)</f>
        <v>0</v>
      </c>
      <c r="AX17" s="631">
        <f ca="1">IF(AND($D17="Serviço",AX$12&lt;&gt;0,$H17&gt;0,OR(AUTOEVENTO&lt;&gt;"manual",$M17&lt;&gt;1)),
IF(Import.TipoArredondamento&lt;&gt;"TransfereGOV",
ROUND(OFFSET($P17,0,AX$13),15-13*ORÇAMENTO!$AF$7)/$H17*OFFSET(ORÇAMENTO!$X$15,ROW(AX17)-ROW(AX$15),0),
ROUND(ROUND(OFFSET($P17,0,AX$13),15-13*ORÇAMENTO!$AF$7)*OFFSET(ORÇAMENTO!$W$15,ROW(AX17)-ROW(AX$15),0),15-13*ORÇAMENTO!$AF$11)),0)</f>
        <v>0</v>
      </c>
      <c r="AY17" s="631">
        <f ca="1">IF(AND($D17="Serviço",AY$12&lt;&gt;0,$H17&gt;0,OR(AUTOEVENTO&lt;&gt;"manual",$M17&lt;&gt;1)),
IF(Import.TipoArredondamento&lt;&gt;"TransfereGOV",
ROUND(OFFSET($P17,0,AY$13),15-13*ORÇAMENTO!$AF$7)/$H17*OFFSET(ORÇAMENTO!$X$15,ROW(AY17)-ROW(AY$15),0),
ROUND(ROUND(OFFSET($P17,0,AY$13),15-13*ORÇAMENTO!$AF$7)*OFFSET(ORÇAMENTO!$W$15,ROW(AY17)-ROW(AY$15),0),15-13*ORÇAMENTO!$AF$11)),0)</f>
        <v>0</v>
      </c>
      <c r="AZ17" s="631">
        <f ca="1">IF(AND($D17="Serviço",AZ$12&lt;&gt;0,$H17&gt;0,OR(AUTOEVENTO&lt;&gt;"manual",$M17&lt;&gt;1)),
IF(Import.TipoArredondamento&lt;&gt;"TransfereGOV",
ROUND(OFFSET($P17,0,AZ$13),15-13*ORÇAMENTO!$AF$7)/$H17*OFFSET(ORÇAMENTO!$X$15,ROW(AZ17)-ROW(AZ$15),0),
ROUND(ROUND(OFFSET($P17,0,AZ$13),15-13*ORÇAMENTO!$AF$7)*OFFSET(ORÇAMENTO!$W$15,ROW(AZ17)-ROW(AZ$15),0),15-13*ORÇAMENTO!$AF$11)),0)</f>
        <v>0</v>
      </c>
      <c r="BA17" s="632">
        <f ca="1">IF(AND($D17="Serviço",BA$12&lt;&gt;0,$H17&gt;0,OR(AUTOEVENTO&lt;&gt;"manual",$M17&lt;&gt;1)),
IF(Import.TipoArredondamento&lt;&gt;"TransfereGOV",
ROUND(OFFSET($P17,0,BA$13),15-13*ORÇAMENTO!$AF$7)/$H17*OFFSET(ORÇAMENTO!$X$15,ROW(BA17)-ROW(BA$15),0),
ROUND(ROUND(OFFSET($P17,0,BA$13),15-13*ORÇAMENTO!$AF$7)*OFFSET(ORÇAMENTO!$W$15,ROW(BA17)-ROW(BA$15),0),15-13*ORÇAMENTO!$AF$11)),0)</f>
        <v>0</v>
      </c>
      <c r="BC17" s="216">
        <f ca="1">IF($D17&lt;&gt;"Serviço",0,IF(AND(AUTOEVENTO="Manual",$M17=1),0,IF(OFFSET(CRONOPLE!$F$14,$M17,BC$13)="",10^12,OFFSET(CRONOPLE!$F$14,$M17,BC$13))))</f>
        <v>0</v>
      </c>
      <c r="BD17" s="216">
        <f ca="1">IF($D17&lt;&gt;"Serviço",0,IF(AND(AUTOEVENTO="Manual",$M17=1),0,IF(OFFSET(CRONOPLE!$F$14,$M17,BD$13)="",10^12,OFFSET(CRONOPLE!$F$14,$M17,BD$13))))</f>
        <v>0</v>
      </c>
      <c r="BE17" s="216">
        <f ca="1">IF($D17&lt;&gt;"Serviço",0,IF(AND(AUTOEVENTO="Manual",$M17=1),0,IF(OFFSET(CRONOPLE!$F$14,$M17,BE$13)="",10^12,OFFSET(CRONOPLE!$F$14,$M17,BE$13))))</f>
        <v>0</v>
      </c>
      <c r="BF17" s="216">
        <f ca="1">IF($D17&lt;&gt;"Serviço",0,IF(AND(AUTOEVENTO="Manual",$M17=1),0,IF(OFFSET(CRONOPLE!$F$14,$M17,BF$13)="",10^12,OFFSET(CRONOPLE!$F$14,$M17,BF$13))))</f>
        <v>0</v>
      </c>
      <c r="BG17" s="216">
        <f ca="1">IF($D17&lt;&gt;"Serviço",0,IF(AND(AUTOEVENTO="Manual",$M17=1),0,IF(OFFSET(CRONOPLE!$F$14,$M17,BG$13)="",10^12,OFFSET(CRONOPLE!$F$14,$M17,BG$13))))</f>
        <v>0</v>
      </c>
      <c r="BH17" s="216">
        <f ca="1">IF($D17&lt;&gt;"Serviço",0,IF(AND(AUTOEVENTO="Manual",$M17=1),0,IF(OFFSET(CRONOPLE!$F$14,$M17,BH$13)="",10^12,OFFSET(CRONOPLE!$F$14,$M17,BH$13))))</f>
        <v>0</v>
      </c>
      <c r="BI17" s="216">
        <f ca="1">IF($D17&lt;&gt;"Serviço",0,IF(AND(AUTOEVENTO="Manual",$M17=1),0,IF(OFFSET(CRONOPLE!$F$14,$M17,BI$13)="",10^12,OFFSET(CRONOPLE!$F$14,$M17,BI$13))))</f>
        <v>0</v>
      </c>
      <c r="BJ17" s="216">
        <f ca="1">IF($D17&lt;&gt;"Serviço",0,IF(AND(AUTOEVENTO="Manual",$M17=1),0,IF(OFFSET(CRONOPLE!$F$14,$M17,BJ$13)="",10^12,OFFSET(CRONOPLE!$F$14,$M17,BJ$13))))</f>
        <v>0</v>
      </c>
      <c r="BK17" s="216">
        <f ca="1">IF($D17&lt;&gt;"Serviço",0,IF(AND(AUTOEVENTO="Manual",$M17=1),0,IF(OFFSET(CRONOPLE!$F$14,$M17,BK$13)="",10^12,OFFSET(CRONOPLE!$F$14,$M17,BK$13))))</f>
        <v>0</v>
      </c>
      <c r="BL17" s="216">
        <f ca="1">IF($D17&lt;&gt;"Serviço",0,IF(AND(AUTOEVENTO="Manual",$M17=1),0,IF(OFFSET(CRONOPLE!$F$14,$M17,BL$13)="",10^12,OFFSET(CRONOPLE!$F$14,$M17,BL$13))))</f>
        <v>0</v>
      </c>
      <c r="BM17" s="216">
        <f ca="1">IF($D17&lt;&gt;"Serviço",0,IF(AND(AUTOEVENTO="Manual",$M17=1),0,IF(OFFSET(CRONOPLE!$F$14,$M17,BM$13)="",10^12,OFFSET(CRONOPLE!$F$14,$M17,BM$13))))</f>
        <v>0</v>
      </c>
      <c r="BN17" s="216">
        <f ca="1">IF($D17&lt;&gt;"Serviço",0,IF(AND(AUTOEVENTO="Manual",$M17=1),0,IF(OFFSET(CRONOPLE!$F$14,$M17,BN$13)="",10^12,OFFSET(CRONOPLE!$F$14,$M17,BN$13))))</f>
        <v>0</v>
      </c>
      <c r="BO17" s="216">
        <f ca="1">IF($D17&lt;&gt;"Serviço",0,IF(AND(AUTOEVENTO="Manual",$M17=1),0,IF(OFFSET(CRONOPLE!$F$14,$M17,BO$13)="",10^12,OFFSET(CRONOPLE!$F$14,$M17,BO$13))))</f>
        <v>0</v>
      </c>
      <c r="BP17" s="216">
        <f ca="1">IF($D17&lt;&gt;"Serviço",0,IF(AND(AUTOEVENTO="Manual",$M17=1),0,IF(OFFSET(CRONOPLE!$F$14,$M17,BP$13)="",10^12,OFFSET(CRONOPLE!$F$14,$M17,BP$13))))</f>
        <v>0</v>
      </c>
      <c r="BQ17" s="216">
        <f ca="1">IF($D17&lt;&gt;"Serviço",0,IF(AND(AUTOEVENTO="Manual",$M17=1),0,IF(OFFSET(CRONOPLE!$F$14,$M17,BQ$13)="",10^12,OFFSET(CRONOPLE!$F$14,$M17,BQ$13))))</f>
        <v>0</v>
      </c>
      <c r="BR17" s="216">
        <f ca="1">IF($D17&lt;&gt;"Serviço",0,IF(AND(AUTOEVENTO="Manual",$M17=1),0,IF(OFFSET(CRONOPLE!$F$14,$M17,BR$13)="",10^12,OFFSET(CRONOPLE!$F$14,$M17,BR$13))))</f>
        <v>0</v>
      </c>
      <c r="BS17" s="216">
        <f ca="1">IF($D17&lt;&gt;"Serviço",0,IF(AND(AUTOEVENTO="Manual",$M17=1),0,IF(OFFSET(CRONOPLE!$F$14,$M17,BS$13)="",10^12,OFFSET(CRONOPLE!$F$14,$M17,BS$13))))</f>
        <v>0</v>
      </c>
      <c r="BT17" s="216">
        <f ca="1">IF($D17&lt;&gt;"Serviço",0,IF(AND(AUTOEVENTO="Manual",$M17=1),0,IF(OFFSET(CRONOPLE!$F$14,$M17,BT$13)="",10^12,OFFSET(CRONOPLE!$F$14,$M17,BT$13))))</f>
        <v>0</v>
      </c>
      <c r="BV17" s="217">
        <f ca="1">IF($D17&lt;&gt;"Serviço",0,IF(OR(AND(AUTOEVENTO="Manual",$M17=1),$M17&gt;(ROW(PLE.lastrow)-ROW(PLE.firstrow))),0,IF(OFFSET(PLE!$G$14,$M17,BV$13)="",10^12,OFFSET(PLE!$G$14,$M17,BV$13))))</f>
        <v>0</v>
      </c>
      <c r="BW17" s="217">
        <f ca="1">IF($D17&lt;&gt;"Serviço",0,IF(OR(AND(AUTOEVENTO="Manual",$M17=1),$M17&gt;(ROW(PLE.lastrow)-ROW(PLE.firstrow))),0,IF(OFFSET(PLE!$G$14,$M17,BW$13)="",10^12,OFFSET(PLE!$G$14,$M17,BW$13))))</f>
        <v>0</v>
      </c>
      <c r="BX17" s="217">
        <f ca="1">IF($D17&lt;&gt;"Serviço",0,IF(OR(AND(AUTOEVENTO="Manual",$M17=1),$M17&gt;(ROW(PLE.lastrow)-ROW(PLE.firstrow))),0,IF(OFFSET(PLE!$G$14,$M17,BX$13)="",10^12,OFFSET(PLE!$G$14,$M17,BX$13))))</f>
        <v>0</v>
      </c>
      <c r="BY17" s="217">
        <f ca="1">IF($D17&lt;&gt;"Serviço",0,IF(OR(AND(AUTOEVENTO="Manual",$M17=1),$M17&gt;(ROW(PLE.lastrow)-ROW(PLE.firstrow))),0,IF(OFFSET(PLE!$G$14,$M17,BY$13)="",10^12,OFFSET(PLE!$G$14,$M17,BY$13))))</f>
        <v>0</v>
      </c>
      <c r="BZ17" s="217">
        <f ca="1">IF($D17&lt;&gt;"Serviço",0,IF(OR(AND(AUTOEVENTO="Manual",$M17=1),$M17&gt;(ROW(PLE.lastrow)-ROW(PLE.firstrow))),0,IF(OFFSET(PLE!$G$14,$M17,BZ$13)="",10^12,OFFSET(PLE!$G$14,$M17,BZ$13))))</f>
        <v>0</v>
      </c>
      <c r="CA17" s="217">
        <f ca="1">IF($D17&lt;&gt;"Serviço",0,IF(OR(AND(AUTOEVENTO="Manual",$M17=1),$M17&gt;(ROW(PLE.lastrow)-ROW(PLE.firstrow))),0,IF(OFFSET(PLE!$G$14,$M17,CA$13)="",10^12,OFFSET(PLE!$G$14,$M17,CA$13))))</f>
        <v>0</v>
      </c>
      <c r="CB17" s="217">
        <f ca="1">IF($D17&lt;&gt;"Serviço",0,IF(OR(AND(AUTOEVENTO="Manual",$M17=1),$M17&gt;(ROW(PLE.lastrow)-ROW(PLE.firstrow))),0,IF(OFFSET(PLE!$G$14,$M17,CB$13)="",10^12,OFFSET(PLE!$G$14,$M17,CB$13))))</f>
        <v>0</v>
      </c>
      <c r="CC17" s="217">
        <f ca="1">IF($D17&lt;&gt;"Serviço",0,IF(OR(AND(AUTOEVENTO="Manual",$M17=1),$M17&gt;(ROW(PLE.lastrow)-ROW(PLE.firstrow))),0,IF(OFFSET(PLE!$G$14,$M17,CC$13)="",10^12,OFFSET(PLE!$G$14,$M17,CC$13))))</f>
        <v>0</v>
      </c>
      <c r="CD17" s="217">
        <f ca="1">IF($D17&lt;&gt;"Serviço",0,IF(OR(AND(AUTOEVENTO="Manual",$M17=1),$M17&gt;(ROW(PLE.lastrow)-ROW(PLE.firstrow))),0,IF(OFFSET(PLE!$G$14,$M17,CD$13)="",10^12,OFFSET(PLE!$G$14,$M17,CD$13))))</f>
        <v>0</v>
      </c>
      <c r="CE17" s="217">
        <f ca="1">IF($D17&lt;&gt;"Serviço",0,IF(OR(AND(AUTOEVENTO="Manual",$M17=1),$M17&gt;(ROW(PLE.lastrow)-ROW(PLE.firstrow))),0,IF(OFFSET(PLE!$G$14,$M17,CE$13)="",10^12,OFFSET(PLE!$G$14,$M17,CE$13))))</f>
        <v>0</v>
      </c>
      <c r="CF17" s="217">
        <f ca="1">IF($D17&lt;&gt;"Serviço",0,IF(OR(AND(AUTOEVENTO="Manual",$M17=1),$M17&gt;(ROW(PLE.lastrow)-ROW(PLE.firstrow))),0,IF(OFFSET(PLE!$G$14,$M17,CF$13)="",10^12,OFFSET(PLE!$G$14,$M17,CF$13))))</f>
        <v>0</v>
      </c>
      <c r="CG17" s="217">
        <f ca="1">IF($D17&lt;&gt;"Serviço",0,IF(OR(AND(AUTOEVENTO="Manual",$M17=1),$M17&gt;(ROW(PLE.lastrow)-ROW(PLE.firstrow))),0,IF(OFFSET(PLE!$G$14,$M17,CG$13)="",10^12,OFFSET(PLE!$G$14,$M17,CG$13))))</f>
        <v>0</v>
      </c>
      <c r="CH17" s="217">
        <f ca="1">IF($D17&lt;&gt;"Serviço",0,IF(OR(AND(AUTOEVENTO="Manual",$M17=1),$M17&gt;(ROW(PLE.lastrow)-ROW(PLE.firstrow))),0,IF(OFFSET(PLE!$G$14,$M17,CH$13)="",10^12,OFFSET(PLE!$G$14,$M17,CH$13))))</f>
        <v>0</v>
      </c>
      <c r="CI17" s="217">
        <f ca="1">IF($D17&lt;&gt;"Serviço",0,IF(OR(AND(AUTOEVENTO="Manual",$M17=1),$M17&gt;(ROW(PLE.lastrow)-ROW(PLE.firstrow))),0,IF(OFFSET(PLE!$G$14,$M17,CI$13)="",10^12,OFFSET(PLE!$G$14,$M17,CI$13))))</f>
        <v>0</v>
      </c>
      <c r="CJ17" s="217">
        <f ca="1">IF($D17&lt;&gt;"Serviço",0,IF(OR(AND(AUTOEVENTO="Manual",$M17=1),$M17&gt;(ROW(PLE.lastrow)-ROW(PLE.firstrow))),0,IF(OFFSET(PLE!$G$14,$M17,CJ$13)="",10^12,OFFSET(PLE!$G$14,$M17,CJ$13))))</f>
        <v>0</v>
      </c>
      <c r="CK17" s="217">
        <f ca="1">IF($D17&lt;&gt;"Serviço",0,IF(OR(AND(AUTOEVENTO="Manual",$M17=1),$M17&gt;(ROW(PLE.lastrow)-ROW(PLE.firstrow))),0,IF(OFFSET(PLE!$G$14,$M17,CK$13)="",10^12,OFFSET(PLE!$G$14,$M17,CK$13))))</f>
        <v>0</v>
      </c>
      <c r="CL17" s="217">
        <f ca="1">IF($D17&lt;&gt;"Serviço",0,IF(OR(AND(AUTOEVENTO="Manual",$M17=1),$M17&gt;(ROW(PLE.lastrow)-ROW(PLE.firstrow))),0,IF(OFFSET(PLE!$G$14,$M17,CL$13)="",10^12,OFFSET(PLE!$G$14,$M17,CL$13))))</f>
        <v>0</v>
      </c>
      <c r="CM17" s="217">
        <f ca="1">IF($D17&lt;&gt;"Serviço",0,IF(OR(AND(AUTOEVENTO="Manual",$M17=1),$M17&gt;(ROW(PLE.lastrow)-ROW(PLE.firstrow))),0,IF(OFFSET(PLE!$G$14,$M17,CM$13)="",10^12,OFFSET(PLE!$G$14,$M17,CM$13))))</f>
        <v>0</v>
      </c>
    </row>
    <row r="18" spans="1:91" ht="25.5" x14ac:dyDescent="0.2">
      <c r="A18" s="9" t="str">
        <f t="shared" ca="1" si="9"/>
        <v>2</v>
      </c>
      <c r="B18" s="9" t="str">
        <f ca="1">OFFSET(ORÇAMENTO!C$15,ROW(B18)-ROW(B$15),0)</f>
        <v>S</v>
      </c>
      <c r="C18" s="9" t="str">
        <f ca="1">OFFSET(ORÇAMENTO!L$15,ROW(C18)-ROW(C$15),0)</f>
        <v/>
      </c>
      <c r="D18" s="146" t="str">
        <f ca="1">OFFSET(ORÇAMENTO!N$15,ROW(D18)-ROW(D$15),0)</f>
        <v>Serviço</v>
      </c>
      <c r="E18" s="206" t="str">
        <f ca="1">OFFSET(ORÇAMENTO!O$15,ROW(E18)-ROW(E$15),0)</f>
        <v>-</v>
      </c>
      <c r="F18" s="207" t="str">
        <f ca="1">OFFSET(ORÇAMENTO!R$15,ROW(F18)-ROW(F$15),0)</f>
        <v>(abra o arquivo 'Referência 12-2023.xlsm)</v>
      </c>
      <c r="G18" s="208" t="str">
        <f ca="1">IF($D18&lt;&gt;"Serviço","",OFFSET(ORÇAMENTO!S$15,ROW(G18)-ROW(G$15),0))</f>
        <v>-</v>
      </c>
      <c r="H18" s="152">
        <f ca="1">IF($D18&lt;&gt;"Serviço",0,IF(ACOMPANHAMENTO="BM",ROUND(OFFSET(ORÇAMENTO!AJ$15,ROW(H18)-ROW(H$15),0),15-13*ORÇAMENTO!$AF$7),SUMPRODUCT(($Q$12:$AI$12&lt;&gt;"")*ROUND($Q18:$AI18,15-13*ORÇAMENTO!$AF$7))))</f>
        <v>4.5</v>
      </c>
      <c r="I18" s="649" t="s">
        <v>504</v>
      </c>
      <c r="K18" s="209"/>
      <c r="L18" s="210" t="s">
        <v>255</v>
      </c>
      <c r="M18" s="211">
        <f ca="1">IF($D18&lt;&gt;"Serviço","",IF(AUTOEVENTO="manual",$A18,IF(ISERROR(MATCH($A18,$A$15:OFFSET($A18,-1,0),0)),MAX($M$15:OFFSET(M18,-1,0))+1,INDEX($M$15:OFFSET(M18,-1,0),MATCH($A18,$A$15:OFFSET($A18,-1,0),0)))))</f>
        <v>2</v>
      </c>
      <c r="N18" s="212" t="str">
        <f ca="1">IF($D18&lt;&gt;"Serviço","",IF(AUTOEVENTO="Manual",IF($A18=0,"&lt;-- defina o número do agrupador",OFFSET(EVENTOS!$D$14,$A18,0)),OFFSET($F$15,$A18,0)))</f>
        <v>SERVIÇOS PRELIMINARES</v>
      </c>
      <c r="O18" s="213"/>
      <c r="Q18" s="213">
        <v>4.5</v>
      </c>
      <c r="R18" s="214"/>
      <c r="S18" s="214"/>
      <c r="T18" s="214"/>
      <c r="U18" s="214"/>
      <c r="V18" s="214"/>
      <c r="W18" s="214"/>
      <c r="X18" s="214"/>
      <c r="Y18" s="214"/>
      <c r="Z18" s="215"/>
      <c r="AA18" s="214"/>
      <c r="AB18" s="214"/>
      <c r="AC18" s="214"/>
      <c r="AD18" s="214"/>
      <c r="AE18" s="214"/>
      <c r="AF18" s="214"/>
      <c r="AG18" s="214"/>
      <c r="AH18" s="215"/>
      <c r="AJ18" s="630">
        <f ca="1">IF(AND($D18="Serviço",AJ$12&lt;&gt;0,$H18&gt;0,OR(AUTOEVENTO&lt;&gt;"manual",$M18&lt;&gt;1)),
IF(Import.TipoArredondamento&lt;&gt;"TransfereGOV",
ROUND(OFFSET($P18,0,AJ$13),15-13*ORÇAMENTO!$AF$7)/$H18*OFFSET(ORÇAMENTO!$X$15,ROW(AJ18)-ROW(AJ$15),0),
ROUND(ROUND(OFFSET($P18,0,AJ$13),15-13*ORÇAMENTO!$AF$7)*OFFSET(ORÇAMENTO!$W$15,ROW(AJ18)-ROW(AJ$15),0),15-13*ORÇAMENTO!$AF$11)),0)</f>
        <v>0</v>
      </c>
      <c r="AK18" s="631">
        <f ca="1">IF(AND($D18="Serviço",AK$12&lt;&gt;0,$H18&gt;0,OR(AUTOEVENTO&lt;&gt;"manual",$M18&lt;&gt;1)),
IF(Import.TipoArredondamento&lt;&gt;"TransfereGOV",
ROUND(OFFSET($P18,0,AK$13),15-13*ORÇAMENTO!$AF$7)/$H18*OFFSET(ORÇAMENTO!$X$15,ROW(AK18)-ROW(AK$15),0),
ROUND(ROUND(OFFSET($P18,0,AK$13),15-13*ORÇAMENTO!$AF$7)*OFFSET(ORÇAMENTO!$W$15,ROW(AK18)-ROW(AK$15),0),15-13*ORÇAMENTO!$AF$11)),0)</f>
        <v>0</v>
      </c>
      <c r="AL18" s="631">
        <f ca="1">IF(AND($D18="Serviço",AL$12&lt;&gt;0,$H18&gt;0,OR(AUTOEVENTO&lt;&gt;"manual",$M18&lt;&gt;1)),
IF(Import.TipoArredondamento&lt;&gt;"TransfereGOV",
ROUND(OFFSET($P18,0,AL$13),15-13*ORÇAMENTO!$AF$7)/$H18*OFFSET(ORÇAMENTO!$X$15,ROW(AL18)-ROW(AL$15),0),
ROUND(ROUND(OFFSET($P18,0,AL$13),15-13*ORÇAMENTO!$AF$7)*OFFSET(ORÇAMENTO!$W$15,ROW(AL18)-ROW(AL$15),0),15-13*ORÇAMENTO!$AF$11)),0)</f>
        <v>0</v>
      </c>
      <c r="AM18" s="631">
        <f ca="1">IF(AND($D18="Serviço",AM$12&lt;&gt;0,$H18&gt;0,OR(AUTOEVENTO&lt;&gt;"manual",$M18&lt;&gt;1)),
IF(Import.TipoArredondamento&lt;&gt;"TransfereGOV",
ROUND(OFFSET($P18,0,AM$13),15-13*ORÇAMENTO!$AF$7)/$H18*OFFSET(ORÇAMENTO!$X$15,ROW(AM18)-ROW(AM$15),0),
ROUND(ROUND(OFFSET($P18,0,AM$13),15-13*ORÇAMENTO!$AF$7)*OFFSET(ORÇAMENTO!$W$15,ROW(AM18)-ROW(AM$15),0),15-13*ORÇAMENTO!$AF$11)),0)</f>
        <v>0</v>
      </c>
      <c r="AN18" s="631">
        <f ca="1">IF(AND($D18="Serviço",AN$12&lt;&gt;0,$H18&gt;0,OR(AUTOEVENTO&lt;&gt;"manual",$M18&lt;&gt;1)),
IF(Import.TipoArredondamento&lt;&gt;"TransfereGOV",
ROUND(OFFSET($P18,0,AN$13),15-13*ORÇAMENTO!$AF$7)/$H18*OFFSET(ORÇAMENTO!$X$15,ROW(AN18)-ROW(AN$15),0),
ROUND(ROUND(OFFSET($P18,0,AN$13),15-13*ORÇAMENTO!$AF$7)*OFFSET(ORÇAMENTO!$W$15,ROW(AN18)-ROW(AN$15),0),15-13*ORÇAMENTO!$AF$11)),0)</f>
        <v>0</v>
      </c>
      <c r="AO18" s="631">
        <f ca="1">IF(AND($D18="Serviço",AO$12&lt;&gt;0,$H18&gt;0,OR(AUTOEVENTO&lt;&gt;"manual",$M18&lt;&gt;1)),
IF(Import.TipoArredondamento&lt;&gt;"TransfereGOV",
ROUND(OFFSET($P18,0,AO$13),15-13*ORÇAMENTO!$AF$7)/$H18*OFFSET(ORÇAMENTO!$X$15,ROW(AO18)-ROW(AO$15),0),
ROUND(ROUND(OFFSET($P18,0,AO$13),15-13*ORÇAMENTO!$AF$7)*OFFSET(ORÇAMENTO!$W$15,ROW(AO18)-ROW(AO$15),0),15-13*ORÇAMENTO!$AF$11)),0)</f>
        <v>0</v>
      </c>
      <c r="AP18" s="631">
        <f ca="1">IF(AND($D18="Serviço",AP$12&lt;&gt;0,$H18&gt;0,OR(AUTOEVENTO&lt;&gt;"manual",$M18&lt;&gt;1)),
IF(Import.TipoArredondamento&lt;&gt;"TransfereGOV",
ROUND(OFFSET($P18,0,AP$13),15-13*ORÇAMENTO!$AF$7)/$H18*OFFSET(ORÇAMENTO!$X$15,ROW(AP18)-ROW(AP$15),0),
ROUND(ROUND(OFFSET($P18,0,AP$13),15-13*ORÇAMENTO!$AF$7)*OFFSET(ORÇAMENTO!$W$15,ROW(AP18)-ROW(AP$15),0),15-13*ORÇAMENTO!$AF$11)),0)</f>
        <v>0</v>
      </c>
      <c r="AQ18" s="631">
        <f ca="1">IF(AND($D18="Serviço",AQ$12&lt;&gt;0,$H18&gt;0,OR(AUTOEVENTO&lt;&gt;"manual",$M18&lt;&gt;1)),
IF(Import.TipoArredondamento&lt;&gt;"TransfereGOV",
ROUND(OFFSET($P18,0,AQ$13),15-13*ORÇAMENTO!$AF$7)/$H18*OFFSET(ORÇAMENTO!$X$15,ROW(AQ18)-ROW(AQ$15),0),
ROUND(ROUND(OFFSET($P18,0,AQ$13),15-13*ORÇAMENTO!$AF$7)*OFFSET(ORÇAMENTO!$W$15,ROW(AQ18)-ROW(AQ$15),0),15-13*ORÇAMENTO!$AF$11)),0)</f>
        <v>0</v>
      </c>
      <c r="AR18" s="631">
        <f ca="1">IF(AND($D18="Serviço",AR$12&lt;&gt;0,$H18&gt;0,OR(AUTOEVENTO&lt;&gt;"manual",$M18&lt;&gt;1)),
IF(Import.TipoArredondamento&lt;&gt;"TransfereGOV",
ROUND(OFFSET($P18,0,AR$13),15-13*ORÇAMENTO!$AF$7)/$H18*OFFSET(ORÇAMENTO!$X$15,ROW(AR18)-ROW(AR$15),0),
ROUND(ROUND(OFFSET($P18,0,AR$13),15-13*ORÇAMENTO!$AF$7)*OFFSET(ORÇAMENTO!$W$15,ROW(AR18)-ROW(AR$15),0),15-13*ORÇAMENTO!$AF$11)),0)</f>
        <v>0</v>
      </c>
      <c r="AS18" s="632">
        <f ca="1">IF(AND($D18="Serviço",AS$12&lt;&gt;0,$H18&gt;0,OR(AUTOEVENTO&lt;&gt;"manual",$M18&lt;&gt;1)),
IF(Import.TipoArredondamento&lt;&gt;"TransfereGOV",
ROUND(OFFSET($P18,0,AS$13),15-13*ORÇAMENTO!$AF$7)/$H18*OFFSET(ORÇAMENTO!$X$15,ROW(AS18)-ROW(AS$15),0),
ROUND(ROUND(OFFSET($P18,0,AS$13),15-13*ORÇAMENTO!$AF$7)*OFFSET(ORÇAMENTO!$W$15,ROW(AS18)-ROW(AS$15),0),15-13*ORÇAMENTO!$AF$11)),0)</f>
        <v>0</v>
      </c>
      <c r="AT18" s="631">
        <f ca="1">IF(AND($D18="Serviço",AT$12&lt;&gt;0,$H18&gt;0,OR(AUTOEVENTO&lt;&gt;"manual",$M18&lt;&gt;1)),
IF(Import.TipoArredondamento&lt;&gt;"TransfereGOV",
ROUND(OFFSET($P18,0,AT$13),15-13*ORÇAMENTO!$AF$7)/$H18*OFFSET(ORÇAMENTO!$X$15,ROW(AT18)-ROW(AT$15),0),
ROUND(ROUND(OFFSET($P18,0,AT$13),15-13*ORÇAMENTO!$AF$7)*OFFSET(ORÇAMENTO!$W$15,ROW(AT18)-ROW(AT$15),0),15-13*ORÇAMENTO!$AF$11)),0)</f>
        <v>0</v>
      </c>
      <c r="AU18" s="631">
        <f ca="1">IF(AND($D18="Serviço",AU$12&lt;&gt;0,$H18&gt;0,OR(AUTOEVENTO&lt;&gt;"manual",$M18&lt;&gt;1)),
IF(Import.TipoArredondamento&lt;&gt;"TransfereGOV",
ROUND(OFFSET($P18,0,AU$13),15-13*ORÇAMENTO!$AF$7)/$H18*OFFSET(ORÇAMENTO!$X$15,ROW(AU18)-ROW(AU$15),0),
ROUND(ROUND(OFFSET($P18,0,AU$13),15-13*ORÇAMENTO!$AF$7)*OFFSET(ORÇAMENTO!$W$15,ROW(AU18)-ROW(AU$15),0),15-13*ORÇAMENTO!$AF$11)),0)</f>
        <v>0</v>
      </c>
      <c r="AV18" s="631">
        <f ca="1">IF(AND($D18="Serviço",AV$12&lt;&gt;0,$H18&gt;0,OR(AUTOEVENTO&lt;&gt;"manual",$M18&lt;&gt;1)),
IF(Import.TipoArredondamento&lt;&gt;"TransfereGOV",
ROUND(OFFSET($P18,0,AV$13),15-13*ORÇAMENTO!$AF$7)/$H18*OFFSET(ORÇAMENTO!$X$15,ROW(AV18)-ROW(AV$15),0),
ROUND(ROUND(OFFSET($P18,0,AV$13),15-13*ORÇAMENTO!$AF$7)*OFFSET(ORÇAMENTO!$W$15,ROW(AV18)-ROW(AV$15),0),15-13*ORÇAMENTO!$AF$11)),0)</f>
        <v>0</v>
      </c>
      <c r="AW18" s="631">
        <f ca="1">IF(AND($D18="Serviço",AW$12&lt;&gt;0,$H18&gt;0,OR(AUTOEVENTO&lt;&gt;"manual",$M18&lt;&gt;1)),
IF(Import.TipoArredondamento&lt;&gt;"TransfereGOV",
ROUND(OFFSET($P18,0,AW$13),15-13*ORÇAMENTO!$AF$7)/$H18*OFFSET(ORÇAMENTO!$X$15,ROW(AW18)-ROW(AW$15),0),
ROUND(ROUND(OFFSET($P18,0,AW$13),15-13*ORÇAMENTO!$AF$7)*OFFSET(ORÇAMENTO!$W$15,ROW(AW18)-ROW(AW$15),0),15-13*ORÇAMENTO!$AF$11)),0)</f>
        <v>0</v>
      </c>
      <c r="AX18" s="631">
        <f ca="1">IF(AND($D18="Serviço",AX$12&lt;&gt;0,$H18&gt;0,OR(AUTOEVENTO&lt;&gt;"manual",$M18&lt;&gt;1)),
IF(Import.TipoArredondamento&lt;&gt;"TransfereGOV",
ROUND(OFFSET($P18,0,AX$13),15-13*ORÇAMENTO!$AF$7)/$H18*OFFSET(ORÇAMENTO!$X$15,ROW(AX18)-ROW(AX$15),0),
ROUND(ROUND(OFFSET($P18,0,AX$13),15-13*ORÇAMENTO!$AF$7)*OFFSET(ORÇAMENTO!$W$15,ROW(AX18)-ROW(AX$15),0),15-13*ORÇAMENTO!$AF$11)),0)</f>
        <v>0</v>
      </c>
      <c r="AY18" s="631">
        <f ca="1">IF(AND($D18="Serviço",AY$12&lt;&gt;0,$H18&gt;0,OR(AUTOEVENTO&lt;&gt;"manual",$M18&lt;&gt;1)),
IF(Import.TipoArredondamento&lt;&gt;"TransfereGOV",
ROUND(OFFSET($P18,0,AY$13),15-13*ORÇAMENTO!$AF$7)/$H18*OFFSET(ORÇAMENTO!$X$15,ROW(AY18)-ROW(AY$15),0),
ROUND(ROUND(OFFSET($P18,0,AY$13),15-13*ORÇAMENTO!$AF$7)*OFFSET(ORÇAMENTO!$W$15,ROW(AY18)-ROW(AY$15),0),15-13*ORÇAMENTO!$AF$11)),0)</f>
        <v>0</v>
      </c>
      <c r="AZ18" s="631">
        <f ca="1">IF(AND($D18="Serviço",AZ$12&lt;&gt;0,$H18&gt;0,OR(AUTOEVENTO&lt;&gt;"manual",$M18&lt;&gt;1)),
IF(Import.TipoArredondamento&lt;&gt;"TransfereGOV",
ROUND(OFFSET($P18,0,AZ$13),15-13*ORÇAMENTO!$AF$7)/$H18*OFFSET(ORÇAMENTO!$X$15,ROW(AZ18)-ROW(AZ$15),0),
ROUND(ROUND(OFFSET($P18,0,AZ$13),15-13*ORÇAMENTO!$AF$7)*OFFSET(ORÇAMENTO!$W$15,ROW(AZ18)-ROW(AZ$15),0),15-13*ORÇAMENTO!$AF$11)),0)</f>
        <v>0</v>
      </c>
      <c r="BA18" s="632">
        <f ca="1">IF(AND($D18="Serviço",BA$12&lt;&gt;0,$H18&gt;0,OR(AUTOEVENTO&lt;&gt;"manual",$M18&lt;&gt;1)),
IF(Import.TipoArredondamento&lt;&gt;"TransfereGOV",
ROUND(OFFSET($P18,0,BA$13),15-13*ORÇAMENTO!$AF$7)/$H18*OFFSET(ORÇAMENTO!$X$15,ROW(BA18)-ROW(BA$15),0),
ROUND(ROUND(OFFSET($P18,0,BA$13),15-13*ORÇAMENTO!$AF$7)*OFFSET(ORÇAMENTO!$W$15,ROW(BA18)-ROW(BA$15),0),15-13*ORÇAMENTO!$AF$11)),0)</f>
        <v>0</v>
      </c>
      <c r="BC18" s="216">
        <f ca="1">IF($D18&lt;&gt;"Serviço",0,IF(AND(AUTOEVENTO="Manual",$M18=1),0,IF(OFFSET(CRONOPLE!$F$14,$M18,BC$13)="",10^12,OFFSET(CRONOPLE!$F$14,$M18,BC$13))))</f>
        <v>1</v>
      </c>
      <c r="BD18" s="216">
        <f ca="1">IF($D18&lt;&gt;"Serviço",0,IF(AND(AUTOEVENTO="Manual",$M18=1),0,IF(OFFSET(CRONOPLE!$F$14,$M18,BD$13)="",10^12,OFFSET(CRONOPLE!$F$14,$M18,BD$13))))</f>
        <v>1</v>
      </c>
      <c r="BE18" s="216">
        <f ca="1">IF($D18&lt;&gt;"Serviço",0,IF(AND(AUTOEVENTO="Manual",$M18=1),0,IF(OFFSET(CRONOPLE!$F$14,$M18,BE$13)="",10^12,OFFSET(CRONOPLE!$F$14,$M18,BE$13))))</f>
        <v>2</v>
      </c>
      <c r="BF18" s="216">
        <f ca="1">IF($D18&lt;&gt;"Serviço",0,IF(AND(AUTOEVENTO="Manual",$M18=1),0,IF(OFFSET(CRONOPLE!$F$14,$M18,BF$13)="",10^12,OFFSET(CRONOPLE!$F$14,$M18,BF$13))))</f>
        <v>2</v>
      </c>
      <c r="BG18" s="216">
        <f ca="1">IF($D18&lt;&gt;"Serviço",0,IF(AND(AUTOEVENTO="Manual",$M18=1),0,IF(OFFSET(CRONOPLE!$F$14,$M18,BG$13)="",10^12,OFFSET(CRONOPLE!$F$14,$M18,BG$13))))</f>
        <v>3</v>
      </c>
      <c r="BH18" s="216">
        <f ca="1">IF($D18&lt;&gt;"Serviço",0,IF(AND(AUTOEVENTO="Manual",$M18=1),0,IF(OFFSET(CRONOPLE!$F$14,$M18,BH$13)="",10^12,OFFSET(CRONOPLE!$F$14,$M18,BH$13))))</f>
        <v>4</v>
      </c>
      <c r="BI18" s="216">
        <f ca="1">IF($D18&lt;&gt;"Serviço",0,IF(AND(AUTOEVENTO="Manual",$M18=1),0,IF(OFFSET(CRONOPLE!$F$14,$M18,BI$13)="",10^12,OFFSET(CRONOPLE!$F$14,$M18,BI$13))))</f>
        <v>1000000000000</v>
      </c>
      <c r="BJ18" s="216">
        <f ca="1">IF($D18&lt;&gt;"Serviço",0,IF(AND(AUTOEVENTO="Manual",$M18=1),0,IF(OFFSET(CRONOPLE!$F$14,$M18,BJ$13)="",10^12,OFFSET(CRONOPLE!$F$14,$M18,BJ$13))))</f>
        <v>4</v>
      </c>
      <c r="BK18" s="216">
        <f ca="1">IF($D18&lt;&gt;"Serviço",0,IF(AND(AUTOEVENTO="Manual",$M18=1),0,IF(OFFSET(CRONOPLE!$F$14,$M18,BK$13)="",10^12,OFFSET(CRONOPLE!$F$14,$M18,BK$13))))</f>
        <v>5</v>
      </c>
      <c r="BL18" s="216">
        <f ca="1">IF($D18&lt;&gt;"Serviço",0,IF(AND(AUTOEVENTO="Manual",$M18=1),0,IF(OFFSET(CRONOPLE!$F$14,$M18,BL$13)="",10^12,OFFSET(CRONOPLE!$F$14,$M18,BL$13))))</f>
        <v>5</v>
      </c>
      <c r="BM18" s="216">
        <f ca="1">IF($D18&lt;&gt;"Serviço",0,IF(AND(AUTOEVENTO="Manual",$M18=1),0,IF(OFFSET(CRONOPLE!$F$14,$M18,BM$13)="",10^12,OFFSET(CRONOPLE!$F$14,$M18,BM$13))))</f>
        <v>6</v>
      </c>
      <c r="BN18" s="216">
        <f ca="1">IF($D18&lt;&gt;"Serviço",0,IF(AND(AUTOEVENTO="Manual",$M18=1),0,IF(OFFSET(CRONOPLE!$F$14,$M18,BN$13)="",10^12,OFFSET(CRONOPLE!$F$14,$M18,BN$13))))</f>
        <v>1000000000000</v>
      </c>
      <c r="BO18" s="216">
        <f ca="1">IF($D18&lt;&gt;"Serviço",0,IF(AND(AUTOEVENTO="Manual",$M18=1),0,IF(OFFSET(CRONOPLE!$F$14,$M18,BO$13)="",10^12,OFFSET(CRONOPLE!$F$14,$M18,BO$13))))</f>
        <v>1000000000000</v>
      </c>
      <c r="BP18" s="216">
        <f ca="1">IF($D18&lt;&gt;"Serviço",0,IF(AND(AUTOEVENTO="Manual",$M18=1),0,IF(OFFSET(CRONOPLE!$F$14,$M18,BP$13)="",10^12,OFFSET(CRONOPLE!$F$14,$M18,BP$13))))</f>
        <v>1000000000000</v>
      </c>
      <c r="BQ18" s="216">
        <f ca="1">IF($D18&lt;&gt;"Serviço",0,IF(AND(AUTOEVENTO="Manual",$M18=1),0,IF(OFFSET(CRONOPLE!$F$14,$M18,BQ$13)="",10^12,OFFSET(CRONOPLE!$F$14,$M18,BQ$13))))</f>
        <v>1000000000000</v>
      </c>
      <c r="BR18" s="216">
        <f ca="1">IF($D18&lt;&gt;"Serviço",0,IF(AND(AUTOEVENTO="Manual",$M18=1),0,IF(OFFSET(CRONOPLE!$F$14,$M18,BR$13)="",10^12,OFFSET(CRONOPLE!$F$14,$M18,BR$13))))</f>
        <v>1000000000000</v>
      </c>
      <c r="BS18" s="216">
        <f ca="1">IF($D18&lt;&gt;"Serviço",0,IF(AND(AUTOEVENTO="Manual",$M18=1),0,IF(OFFSET(CRONOPLE!$F$14,$M18,BS$13)="",10^12,OFFSET(CRONOPLE!$F$14,$M18,BS$13))))</f>
        <v>1000000000000</v>
      </c>
      <c r="BT18" s="216">
        <f ca="1">IF($D18&lt;&gt;"Serviço",0,IF(AND(AUTOEVENTO="Manual",$M18=1),0,IF(OFFSET(CRONOPLE!$F$14,$M18,BT$13)="",10^12,OFFSET(CRONOPLE!$F$14,$M18,BT$13))))</f>
        <v>1000000000000</v>
      </c>
      <c r="BV18" s="217">
        <f ca="1">IF($D18&lt;&gt;"Serviço",0,IF(OR(AND(AUTOEVENTO="Manual",$M18=1),$M18&gt;(ROW(PLE.lastrow)-ROW(PLE.firstrow))),0,IF(OFFSET(PLE!$G$14,$M18,BV$13)="",10^12,OFFSET(PLE!$G$14,$M18,BV$13))))</f>
        <v>1000000000000</v>
      </c>
      <c r="BW18" s="217">
        <f ca="1">IF($D18&lt;&gt;"Serviço",0,IF(OR(AND(AUTOEVENTO="Manual",$M18=1),$M18&gt;(ROW(PLE.lastrow)-ROW(PLE.firstrow))),0,IF(OFFSET(PLE!$G$14,$M18,BW$13)="",10^12,OFFSET(PLE!$G$14,$M18,BW$13))))</f>
        <v>1000000000000</v>
      </c>
      <c r="BX18" s="217">
        <f ca="1">IF($D18&lt;&gt;"Serviço",0,IF(OR(AND(AUTOEVENTO="Manual",$M18=1),$M18&gt;(ROW(PLE.lastrow)-ROW(PLE.firstrow))),0,IF(OFFSET(PLE!$G$14,$M18,BX$13)="",10^12,OFFSET(PLE!$G$14,$M18,BX$13))))</f>
        <v>1000000000000</v>
      </c>
      <c r="BY18" s="217">
        <f ca="1">IF($D18&lt;&gt;"Serviço",0,IF(OR(AND(AUTOEVENTO="Manual",$M18=1),$M18&gt;(ROW(PLE.lastrow)-ROW(PLE.firstrow))),0,IF(OFFSET(PLE!$G$14,$M18,BY$13)="",10^12,OFFSET(PLE!$G$14,$M18,BY$13))))</f>
        <v>1000000000000</v>
      </c>
      <c r="BZ18" s="217">
        <f ca="1">IF($D18&lt;&gt;"Serviço",0,IF(OR(AND(AUTOEVENTO="Manual",$M18=1),$M18&gt;(ROW(PLE.lastrow)-ROW(PLE.firstrow))),0,IF(OFFSET(PLE!$G$14,$M18,BZ$13)="",10^12,OFFSET(PLE!$G$14,$M18,BZ$13))))</f>
        <v>1000000000000</v>
      </c>
      <c r="CA18" s="217">
        <f ca="1">IF($D18&lt;&gt;"Serviço",0,IF(OR(AND(AUTOEVENTO="Manual",$M18=1),$M18&gt;(ROW(PLE.lastrow)-ROW(PLE.firstrow))),0,IF(OFFSET(PLE!$G$14,$M18,CA$13)="",10^12,OFFSET(PLE!$G$14,$M18,CA$13))))</f>
        <v>1000000000000</v>
      </c>
      <c r="CB18" s="217">
        <f ca="1">IF($D18&lt;&gt;"Serviço",0,IF(OR(AND(AUTOEVENTO="Manual",$M18=1),$M18&gt;(ROW(PLE.lastrow)-ROW(PLE.firstrow))),0,IF(OFFSET(PLE!$G$14,$M18,CB$13)="",10^12,OFFSET(PLE!$G$14,$M18,CB$13))))</f>
        <v>1000000000000</v>
      </c>
      <c r="CC18" s="217">
        <f ca="1">IF($D18&lt;&gt;"Serviço",0,IF(OR(AND(AUTOEVENTO="Manual",$M18=1),$M18&gt;(ROW(PLE.lastrow)-ROW(PLE.firstrow))),0,IF(OFFSET(PLE!$G$14,$M18,CC$13)="",10^12,OFFSET(PLE!$G$14,$M18,CC$13))))</f>
        <v>1000000000000</v>
      </c>
      <c r="CD18" s="217">
        <f ca="1">IF($D18&lt;&gt;"Serviço",0,IF(OR(AND(AUTOEVENTO="Manual",$M18=1),$M18&gt;(ROW(PLE.lastrow)-ROW(PLE.firstrow))),0,IF(OFFSET(PLE!$G$14,$M18,CD$13)="",10^12,OFFSET(PLE!$G$14,$M18,CD$13))))</f>
        <v>1000000000000</v>
      </c>
      <c r="CE18" s="217">
        <f ca="1">IF($D18&lt;&gt;"Serviço",0,IF(OR(AND(AUTOEVENTO="Manual",$M18=1),$M18&gt;(ROW(PLE.lastrow)-ROW(PLE.firstrow))),0,IF(OFFSET(PLE!$G$14,$M18,CE$13)="",10^12,OFFSET(PLE!$G$14,$M18,CE$13))))</f>
        <v>1000000000000</v>
      </c>
      <c r="CF18" s="217">
        <f ca="1">IF($D18&lt;&gt;"Serviço",0,IF(OR(AND(AUTOEVENTO="Manual",$M18=1),$M18&gt;(ROW(PLE.lastrow)-ROW(PLE.firstrow))),0,IF(OFFSET(PLE!$G$14,$M18,CF$13)="",10^12,OFFSET(PLE!$G$14,$M18,CF$13))))</f>
        <v>1000000000000</v>
      </c>
      <c r="CG18" s="217">
        <f ca="1">IF($D18&lt;&gt;"Serviço",0,IF(OR(AND(AUTOEVENTO="Manual",$M18=1),$M18&gt;(ROW(PLE.lastrow)-ROW(PLE.firstrow))),0,IF(OFFSET(PLE!$G$14,$M18,CG$13)="",10^12,OFFSET(PLE!$G$14,$M18,CG$13))))</f>
        <v>1000000000000</v>
      </c>
      <c r="CH18" s="217">
        <f ca="1">IF($D18&lt;&gt;"Serviço",0,IF(OR(AND(AUTOEVENTO="Manual",$M18=1),$M18&gt;(ROW(PLE.lastrow)-ROW(PLE.firstrow))),0,IF(OFFSET(PLE!$G$14,$M18,CH$13)="",10^12,OFFSET(PLE!$G$14,$M18,CH$13))))</f>
        <v>1000000000000</v>
      </c>
      <c r="CI18" s="217">
        <f ca="1">IF($D18&lt;&gt;"Serviço",0,IF(OR(AND(AUTOEVENTO="Manual",$M18=1),$M18&gt;(ROW(PLE.lastrow)-ROW(PLE.firstrow))),0,IF(OFFSET(PLE!$G$14,$M18,CI$13)="",10^12,OFFSET(PLE!$G$14,$M18,CI$13))))</f>
        <v>1000000000000</v>
      </c>
      <c r="CJ18" s="217">
        <f ca="1">IF($D18&lt;&gt;"Serviço",0,IF(OR(AND(AUTOEVENTO="Manual",$M18=1),$M18&gt;(ROW(PLE.lastrow)-ROW(PLE.firstrow))),0,IF(OFFSET(PLE!$G$14,$M18,CJ$13)="",10^12,OFFSET(PLE!$G$14,$M18,CJ$13))))</f>
        <v>1000000000000</v>
      </c>
      <c r="CK18" s="217">
        <f ca="1">IF($D18&lt;&gt;"Serviço",0,IF(OR(AND(AUTOEVENTO="Manual",$M18=1),$M18&gt;(ROW(PLE.lastrow)-ROW(PLE.firstrow))),0,IF(OFFSET(PLE!$G$14,$M18,CK$13)="",10^12,OFFSET(PLE!$G$14,$M18,CK$13))))</f>
        <v>1000000000000</v>
      </c>
      <c r="CL18" s="217">
        <f ca="1">IF($D18&lt;&gt;"Serviço",0,IF(OR(AND(AUTOEVENTO="Manual",$M18=1),$M18&gt;(ROW(PLE.lastrow)-ROW(PLE.firstrow))),0,IF(OFFSET(PLE!$G$14,$M18,CL$13)="",10^12,OFFSET(PLE!$G$14,$M18,CL$13))))</f>
        <v>1000000000000</v>
      </c>
      <c r="CM18" s="217">
        <f ca="1">IF($D18&lt;&gt;"Serviço",0,IF(OR(AND(AUTOEVENTO="Manual",$M18=1),$M18&gt;(ROW(PLE.lastrow)-ROW(PLE.firstrow))),0,IF(OFFSET(PLE!$G$14,$M18,CM$13)="",10^12,OFFSET(PLE!$G$14,$M18,CM$13))))</f>
        <v>1000000000000</v>
      </c>
    </row>
    <row r="19" spans="1:91" ht="25.5" x14ac:dyDescent="0.2">
      <c r="A19" s="9" t="str">
        <f t="shared" ca="1" si="9"/>
        <v>2</v>
      </c>
      <c r="B19" s="9" t="str">
        <f ca="1">OFFSET(ORÇAMENTO!C$15,ROW(B19)-ROW(B$15),0)</f>
        <v>S</v>
      </c>
      <c r="C19" s="9" t="str">
        <f ca="1">OFFSET(ORÇAMENTO!L$15,ROW(C19)-ROW(C$15),0)</f>
        <v/>
      </c>
      <c r="D19" s="146" t="str">
        <f ca="1">OFFSET(ORÇAMENTO!N$15,ROW(D19)-ROW(D$15),0)</f>
        <v>Serviço</v>
      </c>
      <c r="E19" s="206" t="str">
        <f ca="1">OFFSET(ORÇAMENTO!O$15,ROW(E19)-ROW(E$15),0)</f>
        <v>-</v>
      </c>
      <c r="F19" s="207" t="str">
        <f ca="1">OFFSET(ORÇAMENTO!R$15,ROW(F19)-ROW(F$15),0)</f>
        <v>(abra o arquivo 'Referência 12-2023.xlsm)</v>
      </c>
      <c r="G19" s="208" t="str">
        <f ca="1">IF($D19&lt;&gt;"Serviço","",OFFSET(ORÇAMENTO!S$15,ROW(G19)-ROW(G$15),0))</f>
        <v>-</v>
      </c>
      <c r="H19" s="152">
        <f ca="1">IF($D19&lt;&gt;"Serviço",0,IF(ACOMPANHAMENTO="BM",ROUND(OFFSET(ORÇAMENTO!AJ$15,ROW(H19)-ROW(H$15),0),15-13*ORÇAMENTO!$AF$7),SUMPRODUCT(($Q$12:$AI$12&lt;&gt;"")*ROUND($Q19:$AI19,15-13*ORÇAMENTO!$AF$7))))</f>
        <v>66.92</v>
      </c>
      <c r="I19" s="649" t="s">
        <v>504</v>
      </c>
      <c r="K19" s="209"/>
      <c r="L19" s="210" t="s">
        <v>255</v>
      </c>
      <c r="M19" s="211">
        <f ca="1">IF($D19&lt;&gt;"Serviço","",IF(AUTOEVENTO="manual",$A19,IF(ISERROR(MATCH($A19,$A$15:OFFSET($A19,-1,0),0)),MAX($M$15:OFFSET(M19,-1,0))+1,INDEX($M$15:OFFSET(M19,-1,0),MATCH($A19,$A$15:OFFSET($A19,-1,0),0)))))</f>
        <v>2</v>
      </c>
      <c r="N19" s="212" t="str">
        <f ca="1">IF($D19&lt;&gt;"Serviço","",IF(AUTOEVENTO="Manual",IF($A19=0,"&lt;-- defina o número do agrupador",OFFSET(EVENTOS!$D$14,$A19,0)),OFFSET($F$15,$A19,0)))</f>
        <v>SERVIÇOS PRELIMINARES</v>
      </c>
      <c r="O19" s="213"/>
      <c r="Q19" s="213">
        <v>1.62</v>
      </c>
      <c r="R19" s="214">
        <v>2.77</v>
      </c>
      <c r="S19" s="214">
        <v>6.86</v>
      </c>
      <c r="T19" s="214">
        <v>6.74</v>
      </c>
      <c r="U19" s="214">
        <v>28.47</v>
      </c>
      <c r="V19" s="214">
        <v>0.53</v>
      </c>
      <c r="W19" s="214"/>
      <c r="X19" s="214">
        <v>11.79</v>
      </c>
      <c r="Y19" s="215">
        <v>2.27</v>
      </c>
      <c r="Z19" s="214">
        <v>5.43</v>
      </c>
      <c r="AA19" s="214">
        <v>0.44</v>
      </c>
      <c r="AB19" s="214"/>
      <c r="AC19" s="214"/>
      <c r="AD19" s="214"/>
      <c r="AE19" s="214"/>
      <c r="AF19" s="214"/>
      <c r="AG19" s="214"/>
      <c r="AH19" s="215"/>
      <c r="AJ19" s="630">
        <f ca="1">IF(AND($D19="Serviço",AJ$12&lt;&gt;0,$H19&gt;0,OR(AUTOEVENTO&lt;&gt;"manual",$M19&lt;&gt;1)),
IF(Import.TipoArredondamento&lt;&gt;"TransfereGOV",
ROUND(OFFSET($P19,0,AJ$13),15-13*ORÇAMENTO!$AF$7)/$H19*OFFSET(ORÇAMENTO!$X$15,ROW(AJ19)-ROW(AJ$15),0),
ROUND(ROUND(OFFSET($P19,0,AJ$13),15-13*ORÇAMENTO!$AF$7)*OFFSET(ORÇAMENTO!$W$15,ROW(AJ19)-ROW(AJ$15),0),15-13*ORÇAMENTO!$AF$11)),0)</f>
        <v>0</v>
      </c>
      <c r="AK19" s="631">
        <f ca="1">IF(AND($D19="Serviço",AK$12&lt;&gt;0,$H19&gt;0,OR(AUTOEVENTO&lt;&gt;"manual",$M19&lt;&gt;1)),
IF(Import.TipoArredondamento&lt;&gt;"TransfereGOV",
ROUND(OFFSET($P19,0,AK$13),15-13*ORÇAMENTO!$AF$7)/$H19*OFFSET(ORÇAMENTO!$X$15,ROW(AK19)-ROW(AK$15),0),
ROUND(ROUND(OFFSET($P19,0,AK$13),15-13*ORÇAMENTO!$AF$7)*OFFSET(ORÇAMENTO!$W$15,ROW(AK19)-ROW(AK$15),0),15-13*ORÇAMENTO!$AF$11)),0)</f>
        <v>0</v>
      </c>
      <c r="AL19" s="631">
        <f ca="1">IF(AND($D19="Serviço",AL$12&lt;&gt;0,$H19&gt;0,OR(AUTOEVENTO&lt;&gt;"manual",$M19&lt;&gt;1)),
IF(Import.TipoArredondamento&lt;&gt;"TransfereGOV",
ROUND(OFFSET($P19,0,AL$13),15-13*ORÇAMENTO!$AF$7)/$H19*OFFSET(ORÇAMENTO!$X$15,ROW(AL19)-ROW(AL$15),0),
ROUND(ROUND(OFFSET($P19,0,AL$13),15-13*ORÇAMENTO!$AF$7)*OFFSET(ORÇAMENTO!$W$15,ROW(AL19)-ROW(AL$15),0),15-13*ORÇAMENTO!$AF$11)),0)</f>
        <v>0</v>
      </c>
      <c r="AM19" s="631">
        <f ca="1">IF(AND($D19="Serviço",AM$12&lt;&gt;0,$H19&gt;0,OR(AUTOEVENTO&lt;&gt;"manual",$M19&lt;&gt;1)),
IF(Import.TipoArredondamento&lt;&gt;"TransfereGOV",
ROUND(OFFSET($P19,0,AM$13),15-13*ORÇAMENTO!$AF$7)/$H19*OFFSET(ORÇAMENTO!$X$15,ROW(AM19)-ROW(AM$15),0),
ROUND(ROUND(OFFSET($P19,0,AM$13),15-13*ORÇAMENTO!$AF$7)*OFFSET(ORÇAMENTO!$W$15,ROW(AM19)-ROW(AM$15),0),15-13*ORÇAMENTO!$AF$11)),0)</f>
        <v>0</v>
      </c>
      <c r="AN19" s="631">
        <f ca="1">IF(AND($D19="Serviço",AN$12&lt;&gt;0,$H19&gt;0,OR(AUTOEVENTO&lt;&gt;"manual",$M19&lt;&gt;1)),
IF(Import.TipoArredondamento&lt;&gt;"TransfereGOV",
ROUND(OFFSET($P19,0,AN$13),15-13*ORÇAMENTO!$AF$7)/$H19*OFFSET(ORÇAMENTO!$X$15,ROW(AN19)-ROW(AN$15),0),
ROUND(ROUND(OFFSET($P19,0,AN$13),15-13*ORÇAMENTO!$AF$7)*OFFSET(ORÇAMENTO!$W$15,ROW(AN19)-ROW(AN$15),0),15-13*ORÇAMENTO!$AF$11)),0)</f>
        <v>0</v>
      </c>
      <c r="AO19" s="631">
        <f ca="1">IF(AND($D19="Serviço",AO$12&lt;&gt;0,$H19&gt;0,OR(AUTOEVENTO&lt;&gt;"manual",$M19&lt;&gt;1)),
IF(Import.TipoArredondamento&lt;&gt;"TransfereGOV",
ROUND(OFFSET($P19,0,AO$13),15-13*ORÇAMENTO!$AF$7)/$H19*OFFSET(ORÇAMENTO!$X$15,ROW(AO19)-ROW(AO$15),0),
ROUND(ROUND(OFFSET($P19,0,AO$13),15-13*ORÇAMENTO!$AF$7)*OFFSET(ORÇAMENTO!$W$15,ROW(AO19)-ROW(AO$15),0),15-13*ORÇAMENTO!$AF$11)),0)</f>
        <v>0</v>
      </c>
      <c r="AP19" s="631">
        <f ca="1">IF(AND($D19="Serviço",AP$12&lt;&gt;0,$H19&gt;0,OR(AUTOEVENTO&lt;&gt;"manual",$M19&lt;&gt;1)),
IF(Import.TipoArredondamento&lt;&gt;"TransfereGOV",
ROUND(OFFSET($P19,0,AP$13),15-13*ORÇAMENTO!$AF$7)/$H19*OFFSET(ORÇAMENTO!$X$15,ROW(AP19)-ROW(AP$15),0),
ROUND(ROUND(OFFSET($P19,0,AP$13),15-13*ORÇAMENTO!$AF$7)*OFFSET(ORÇAMENTO!$W$15,ROW(AP19)-ROW(AP$15),0),15-13*ORÇAMENTO!$AF$11)),0)</f>
        <v>0</v>
      </c>
      <c r="AQ19" s="631">
        <f ca="1">IF(AND($D19="Serviço",AQ$12&lt;&gt;0,$H19&gt;0,OR(AUTOEVENTO&lt;&gt;"manual",$M19&lt;&gt;1)),
IF(Import.TipoArredondamento&lt;&gt;"TransfereGOV",
ROUND(OFFSET($P19,0,AQ$13),15-13*ORÇAMENTO!$AF$7)/$H19*OFFSET(ORÇAMENTO!$X$15,ROW(AQ19)-ROW(AQ$15),0),
ROUND(ROUND(OFFSET($P19,0,AQ$13),15-13*ORÇAMENTO!$AF$7)*OFFSET(ORÇAMENTO!$W$15,ROW(AQ19)-ROW(AQ$15),0),15-13*ORÇAMENTO!$AF$11)),0)</f>
        <v>0</v>
      </c>
      <c r="AR19" s="631">
        <f ca="1">IF(AND($D19="Serviço",AR$12&lt;&gt;0,$H19&gt;0,OR(AUTOEVENTO&lt;&gt;"manual",$M19&lt;&gt;1)),
IF(Import.TipoArredondamento&lt;&gt;"TransfereGOV",
ROUND(OFFSET($P19,0,AR$13),15-13*ORÇAMENTO!$AF$7)/$H19*OFFSET(ORÇAMENTO!$X$15,ROW(AR19)-ROW(AR$15),0),
ROUND(ROUND(OFFSET($P19,0,AR$13),15-13*ORÇAMENTO!$AF$7)*OFFSET(ORÇAMENTO!$W$15,ROW(AR19)-ROW(AR$15),0),15-13*ORÇAMENTO!$AF$11)),0)</f>
        <v>0</v>
      </c>
      <c r="AS19" s="632">
        <f ca="1">IF(AND($D19="Serviço",AS$12&lt;&gt;0,$H19&gt;0,OR(AUTOEVENTO&lt;&gt;"manual",$M19&lt;&gt;1)),
IF(Import.TipoArredondamento&lt;&gt;"TransfereGOV",
ROUND(OFFSET($P19,0,AS$13),15-13*ORÇAMENTO!$AF$7)/$H19*OFFSET(ORÇAMENTO!$X$15,ROW(AS19)-ROW(AS$15),0),
ROUND(ROUND(OFFSET($P19,0,AS$13),15-13*ORÇAMENTO!$AF$7)*OFFSET(ORÇAMENTO!$W$15,ROW(AS19)-ROW(AS$15),0),15-13*ORÇAMENTO!$AF$11)),0)</f>
        <v>0</v>
      </c>
      <c r="AT19" s="631">
        <f ca="1">IF(AND($D19="Serviço",AT$12&lt;&gt;0,$H19&gt;0,OR(AUTOEVENTO&lt;&gt;"manual",$M19&lt;&gt;1)),
IF(Import.TipoArredondamento&lt;&gt;"TransfereGOV",
ROUND(OFFSET($P19,0,AT$13),15-13*ORÇAMENTO!$AF$7)/$H19*OFFSET(ORÇAMENTO!$X$15,ROW(AT19)-ROW(AT$15),0),
ROUND(ROUND(OFFSET($P19,0,AT$13),15-13*ORÇAMENTO!$AF$7)*OFFSET(ORÇAMENTO!$W$15,ROW(AT19)-ROW(AT$15),0),15-13*ORÇAMENTO!$AF$11)),0)</f>
        <v>0</v>
      </c>
      <c r="AU19" s="631">
        <f ca="1">IF(AND($D19="Serviço",AU$12&lt;&gt;0,$H19&gt;0,OR(AUTOEVENTO&lt;&gt;"manual",$M19&lt;&gt;1)),
IF(Import.TipoArredondamento&lt;&gt;"TransfereGOV",
ROUND(OFFSET($P19,0,AU$13),15-13*ORÇAMENTO!$AF$7)/$H19*OFFSET(ORÇAMENTO!$X$15,ROW(AU19)-ROW(AU$15),0),
ROUND(ROUND(OFFSET($P19,0,AU$13),15-13*ORÇAMENTO!$AF$7)*OFFSET(ORÇAMENTO!$W$15,ROW(AU19)-ROW(AU$15),0),15-13*ORÇAMENTO!$AF$11)),0)</f>
        <v>0</v>
      </c>
      <c r="AV19" s="631">
        <f ca="1">IF(AND($D19="Serviço",AV$12&lt;&gt;0,$H19&gt;0,OR(AUTOEVENTO&lt;&gt;"manual",$M19&lt;&gt;1)),
IF(Import.TipoArredondamento&lt;&gt;"TransfereGOV",
ROUND(OFFSET($P19,0,AV$13),15-13*ORÇAMENTO!$AF$7)/$H19*OFFSET(ORÇAMENTO!$X$15,ROW(AV19)-ROW(AV$15),0),
ROUND(ROUND(OFFSET($P19,0,AV$13),15-13*ORÇAMENTO!$AF$7)*OFFSET(ORÇAMENTO!$W$15,ROW(AV19)-ROW(AV$15),0),15-13*ORÇAMENTO!$AF$11)),0)</f>
        <v>0</v>
      </c>
      <c r="AW19" s="631">
        <f ca="1">IF(AND($D19="Serviço",AW$12&lt;&gt;0,$H19&gt;0,OR(AUTOEVENTO&lt;&gt;"manual",$M19&lt;&gt;1)),
IF(Import.TipoArredondamento&lt;&gt;"TransfereGOV",
ROUND(OFFSET($P19,0,AW$13),15-13*ORÇAMENTO!$AF$7)/$H19*OFFSET(ORÇAMENTO!$X$15,ROW(AW19)-ROW(AW$15),0),
ROUND(ROUND(OFFSET($P19,0,AW$13),15-13*ORÇAMENTO!$AF$7)*OFFSET(ORÇAMENTO!$W$15,ROW(AW19)-ROW(AW$15),0),15-13*ORÇAMENTO!$AF$11)),0)</f>
        <v>0</v>
      </c>
      <c r="AX19" s="631">
        <f ca="1">IF(AND($D19="Serviço",AX$12&lt;&gt;0,$H19&gt;0,OR(AUTOEVENTO&lt;&gt;"manual",$M19&lt;&gt;1)),
IF(Import.TipoArredondamento&lt;&gt;"TransfereGOV",
ROUND(OFFSET($P19,0,AX$13),15-13*ORÇAMENTO!$AF$7)/$H19*OFFSET(ORÇAMENTO!$X$15,ROW(AX19)-ROW(AX$15),0),
ROUND(ROUND(OFFSET($P19,0,AX$13),15-13*ORÇAMENTO!$AF$7)*OFFSET(ORÇAMENTO!$W$15,ROW(AX19)-ROW(AX$15),0),15-13*ORÇAMENTO!$AF$11)),0)</f>
        <v>0</v>
      </c>
      <c r="AY19" s="631">
        <f ca="1">IF(AND($D19="Serviço",AY$12&lt;&gt;0,$H19&gt;0,OR(AUTOEVENTO&lt;&gt;"manual",$M19&lt;&gt;1)),
IF(Import.TipoArredondamento&lt;&gt;"TransfereGOV",
ROUND(OFFSET($P19,0,AY$13),15-13*ORÇAMENTO!$AF$7)/$H19*OFFSET(ORÇAMENTO!$X$15,ROW(AY19)-ROW(AY$15),0),
ROUND(ROUND(OFFSET($P19,0,AY$13),15-13*ORÇAMENTO!$AF$7)*OFFSET(ORÇAMENTO!$W$15,ROW(AY19)-ROW(AY$15),0),15-13*ORÇAMENTO!$AF$11)),0)</f>
        <v>0</v>
      </c>
      <c r="AZ19" s="631">
        <f ca="1">IF(AND($D19="Serviço",AZ$12&lt;&gt;0,$H19&gt;0,OR(AUTOEVENTO&lt;&gt;"manual",$M19&lt;&gt;1)),
IF(Import.TipoArredondamento&lt;&gt;"TransfereGOV",
ROUND(OFFSET($P19,0,AZ$13),15-13*ORÇAMENTO!$AF$7)/$H19*OFFSET(ORÇAMENTO!$X$15,ROW(AZ19)-ROW(AZ$15),0),
ROUND(ROUND(OFFSET($P19,0,AZ$13),15-13*ORÇAMENTO!$AF$7)*OFFSET(ORÇAMENTO!$W$15,ROW(AZ19)-ROW(AZ$15),0),15-13*ORÇAMENTO!$AF$11)),0)</f>
        <v>0</v>
      </c>
      <c r="BA19" s="632">
        <f ca="1">IF(AND($D19="Serviço",BA$12&lt;&gt;0,$H19&gt;0,OR(AUTOEVENTO&lt;&gt;"manual",$M19&lt;&gt;1)),
IF(Import.TipoArredondamento&lt;&gt;"TransfereGOV",
ROUND(OFFSET($P19,0,BA$13),15-13*ORÇAMENTO!$AF$7)/$H19*OFFSET(ORÇAMENTO!$X$15,ROW(BA19)-ROW(BA$15),0),
ROUND(ROUND(OFFSET($P19,0,BA$13),15-13*ORÇAMENTO!$AF$7)*OFFSET(ORÇAMENTO!$W$15,ROW(BA19)-ROW(BA$15),0),15-13*ORÇAMENTO!$AF$11)),0)</f>
        <v>0</v>
      </c>
      <c r="BC19" s="216">
        <f ca="1">IF($D19&lt;&gt;"Serviço",0,IF(AND(AUTOEVENTO="Manual",$M19=1),0,IF(OFFSET(CRONOPLE!$F$14,$M19,BC$13)="",10^12,OFFSET(CRONOPLE!$F$14,$M19,BC$13))))</f>
        <v>1</v>
      </c>
      <c r="BD19" s="216">
        <f ca="1">IF($D19&lt;&gt;"Serviço",0,IF(AND(AUTOEVENTO="Manual",$M19=1),0,IF(OFFSET(CRONOPLE!$F$14,$M19,BD$13)="",10^12,OFFSET(CRONOPLE!$F$14,$M19,BD$13))))</f>
        <v>1</v>
      </c>
      <c r="BE19" s="216">
        <f ca="1">IF($D19&lt;&gt;"Serviço",0,IF(AND(AUTOEVENTO="Manual",$M19=1),0,IF(OFFSET(CRONOPLE!$F$14,$M19,BE$13)="",10^12,OFFSET(CRONOPLE!$F$14,$M19,BE$13))))</f>
        <v>2</v>
      </c>
      <c r="BF19" s="216">
        <f ca="1">IF($D19&lt;&gt;"Serviço",0,IF(AND(AUTOEVENTO="Manual",$M19=1),0,IF(OFFSET(CRONOPLE!$F$14,$M19,BF$13)="",10^12,OFFSET(CRONOPLE!$F$14,$M19,BF$13))))</f>
        <v>2</v>
      </c>
      <c r="BG19" s="216">
        <f ca="1">IF($D19&lt;&gt;"Serviço",0,IF(AND(AUTOEVENTO="Manual",$M19=1),0,IF(OFFSET(CRONOPLE!$F$14,$M19,BG$13)="",10^12,OFFSET(CRONOPLE!$F$14,$M19,BG$13))))</f>
        <v>3</v>
      </c>
      <c r="BH19" s="216">
        <f ca="1">IF($D19&lt;&gt;"Serviço",0,IF(AND(AUTOEVENTO="Manual",$M19=1),0,IF(OFFSET(CRONOPLE!$F$14,$M19,BH$13)="",10^12,OFFSET(CRONOPLE!$F$14,$M19,BH$13))))</f>
        <v>4</v>
      </c>
      <c r="BI19" s="216">
        <f ca="1">IF($D19&lt;&gt;"Serviço",0,IF(AND(AUTOEVENTO="Manual",$M19=1),0,IF(OFFSET(CRONOPLE!$F$14,$M19,BI$13)="",10^12,OFFSET(CRONOPLE!$F$14,$M19,BI$13))))</f>
        <v>1000000000000</v>
      </c>
      <c r="BJ19" s="216">
        <f ca="1">IF($D19&lt;&gt;"Serviço",0,IF(AND(AUTOEVENTO="Manual",$M19=1),0,IF(OFFSET(CRONOPLE!$F$14,$M19,BJ$13)="",10^12,OFFSET(CRONOPLE!$F$14,$M19,BJ$13))))</f>
        <v>4</v>
      </c>
      <c r="BK19" s="216">
        <f ca="1">IF($D19&lt;&gt;"Serviço",0,IF(AND(AUTOEVENTO="Manual",$M19=1),0,IF(OFFSET(CRONOPLE!$F$14,$M19,BK$13)="",10^12,OFFSET(CRONOPLE!$F$14,$M19,BK$13))))</f>
        <v>5</v>
      </c>
      <c r="BL19" s="216">
        <f ca="1">IF($D19&lt;&gt;"Serviço",0,IF(AND(AUTOEVENTO="Manual",$M19=1),0,IF(OFFSET(CRONOPLE!$F$14,$M19,BL$13)="",10^12,OFFSET(CRONOPLE!$F$14,$M19,BL$13))))</f>
        <v>5</v>
      </c>
      <c r="BM19" s="216">
        <f ca="1">IF($D19&lt;&gt;"Serviço",0,IF(AND(AUTOEVENTO="Manual",$M19=1),0,IF(OFFSET(CRONOPLE!$F$14,$M19,BM$13)="",10^12,OFFSET(CRONOPLE!$F$14,$M19,BM$13))))</f>
        <v>6</v>
      </c>
      <c r="BN19" s="216">
        <f ca="1">IF($D19&lt;&gt;"Serviço",0,IF(AND(AUTOEVENTO="Manual",$M19=1),0,IF(OFFSET(CRONOPLE!$F$14,$M19,BN$13)="",10^12,OFFSET(CRONOPLE!$F$14,$M19,BN$13))))</f>
        <v>1000000000000</v>
      </c>
      <c r="BO19" s="216">
        <f ca="1">IF($D19&lt;&gt;"Serviço",0,IF(AND(AUTOEVENTO="Manual",$M19=1),0,IF(OFFSET(CRONOPLE!$F$14,$M19,BO$13)="",10^12,OFFSET(CRONOPLE!$F$14,$M19,BO$13))))</f>
        <v>1000000000000</v>
      </c>
      <c r="BP19" s="216">
        <f ca="1">IF($D19&lt;&gt;"Serviço",0,IF(AND(AUTOEVENTO="Manual",$M19=1),0,IF(OFFSET(CRONOPLE!$F$14,$M19,BP$13)="",10^12,OFFSET(CRONOPLE!$F$14,$M19,BP$13))))</f>
        <v>1000000000000</v>
      </c>
      <c r="BQ19" s="216">
        <f ca="1">IF($D19&lt;&gt;"Serviço",0,IF(AND(AUTOEVENTO="Manual",$M19=1),0,IF(OFFSET(CRONOPLE!$F$14,$M19,BQ$13)="",10^12,OFFSET(CRONOPLE!$F$14,$M19,BQ$13))))</f>
        <v>1000000000000</v>
      </c>
      <c r="BR19" s="216">
        <f ca="1">IF($D19&lt;&gt;"Serviço",0,IF(AND(AUTOEVENTO="Manual",$M19=1),0,IF(OFFSET(CRONOPLE!$F$14,$M19,BR$13)="",10^12,OFFSET(CRONOPLE!$F$14,$M19,BR$13))))</f>
        <v>1000000000000</v>
      </c>
      <c r="BS19" s="216">
        <f ca="1">IF($D19&lt;&gt;"Serviço",0,IF(AND(AUTOEVENTO="Manual",$M19=1),0,IF(OFFSET(CRONOPLE!$F$14,$M19,BS$13)="",10^12,OFFSET(CRONOPLE!$F$14,$M19,BS$13))))</f>
        <v>1000000000000</v>
      </c>
      <c r="BT19" s="216">
        <f ca="1">IF($D19&lt;&gt;"Serviço",0,IF(AND(AUTOEVENTO="Manual",$M19=1),0,IF(OFFSET(CRONOPLE!$F$14,$M19,BT$13)="",10^12,OFFSET(CRONOPLE!$F$14,$M19,BT$13))))</f>
        <v>1000000000000</v>
      </c>
      <c r="BV19" s="217">
        <f ca="1">IF($D19&lt;&gt;"Serviço",0,IF(OR(AND(AUTOEVENTO="Manual",$M19=1),$M19&gt;(ROW(PLE.lastrow)-ROW(PLE.firstrow))),0,IF(OFFSET(PLE!$G$14,$M19,BV$13)="",10^12,OFFSET(PLE!$G$14,$M19,BV$13))))</f>
        <v>1000000000000</v>
      </c>
      <c r="BW19" s="217">
        <f ca="1">IF($D19&lt;&gt;"Serviço",0,IF(OR(AND(AUTOEVENTO="Manual",$M19=1),$M19&gt;(ROW(PLE.lastrow)-ROW(PLE.firstrow))),0,IF(OFFSET(PLE!$G$14,$M19,BW$13)="",10^12,OFFSET(PLE!$G$14,$M19,BW$13))))</f>
        <v>1000000000000</v>
      </c>
      <c r="BX19" s="217">
        <f ca="1">IF($D19&lt;&gt;"Serviço",0,IF(OR(AND(AUTOEVENTO="Manual",$M19=1),$M19&gt;(ROW(PLE.lastrow)-ROW(PLE.firstrow))),0,IF(OFFSET(PLE!$G$14,$M19,BX$13)="",10^12,OFFSET(PLE!$G$14,$M19,BX$13))))</f>
        <v>1000000000000</v>
      </c>
      <c r="BY19" s="217">
        <f ca="1">IF($D19&lt;&gt;"Serviço",0,IF(OR(AND(AUTOEVENTO="Manual",$M19=1),$M19&gt;(ROW(PLE.lastrow)-ROW(PLE.firstrow))),0,IF(OFFSET(PLE!$G$14,$M19,BY$13)="",10^12,OFFSET(PLE!$G$14,$M19,BY$13))))</f>
        <v>1000000000000</v>
      </c>
      <c r="BZ19" s="217">
        <f ca="1">IF($D19&lt;&gt;"Serviço",0,IF(OR(AND(AUTOEVENTO="Manual",$M19=1),$M19&gt;(ROW(PLE.lastrow)-ROW(PLE.firstrow))),0,IF(OFFSET(PLE!$G$14,$M19,BZ$13)="",10^12,OFFSET(PLE!$G$14,$M19,BZ$13))))</f>
        <v>1000000000000</v>
      </c>
      <c r="CA19" s="217">
        <f ca="1">IF($D19&lt;&gt;"Serviço",0,IF(OR(AND(AUTOEVENTO="Manual",$M19=1),$M19&gt;(ROW(PLE.lastrow)-ROW(PLE.firstrow))),0,IF(OFFSET(PLE!$G$14,$M19,CA$13)="",10^12,OFFSET(PLE!$G$14,$M19,CA$13))))</f>
        <v>1000000000000</v>
      </c>
      <c r="CB19" s="217">
        <f ca="1">IF($D19&lt;&gt;"Serviço",0,IF(OR(AND(AUTOEVENTO="Manual",$M19=1),$M19&gt;(ROW(PLE.lastrow)-ROW(PLE.firstrow))),0,IF(OFFSET(PLE!$G$14,$M19,CB$13)="",10^12,OFFSET(PLE!$G$14,$M19,CB$13))))</f>
        <v>1000000000000</v>
      </c>
      <c r="CC19" s="217">
        <f ca="1">IF($D19&lt;&gt;"Serviço",0,IF(OR(AND(AUTOEVENTO="Manual",$M19=1),$M19&gt;(ROW(PLE.lastrow)-ROW(PLE.firstrow))),0,IF(OFFSET(PLE!$G$14,$M19,CC$13)="",10^12,OFFSET(PLE!$G$14,$M19,CC$13))))</f>
        <v>1000000000000</v>
      </c>
      <c r="CD19" s="217">
        <f ca="1">IF($D19&lt;&gt;"Serviço",0,IF(OR(AND(AUTOEVENTO="Manual",$M19=1),$M19&gt;(ROW(PLE.lastrow)-ROW(PLE.firstrow))),0,IF(OFFSET(PLE!$G$14,$M19,CD$13)="",10^12,OFFSET(PLE!$G$14,$M19,CD$13))))</f>
        <v>1000000000000</v>
      </c>
      <c r="CE19" s="217">
        <f ca="1">IF($D19&lt;&gt;"Serviço",0,IF(OR(AND(AUTOEVENTO="Manual",$M19=1),$M19&gt;(ROW(PLE.lastrow)-ROW(PLE.firstrow))),0,IF(OFFSET(PLE!$G$14,$M19,CE$13)="",10^12,OFFSET(PLE!$G$14,$M19,CE$13))))</f>
        <v>1000000000000</v>
      </c>
      <c r="CF19" s="217">
        <f ca="1">IF($D19&lt;&gt;"Serviço",0,IF(OR(AND(AUTOEVENTO="Manual",$M19=1),$M19&gt;(ROW(PLE.lastrow)-ROW(PLE.firstrow))),0,IF(OFFSET(PLE!$G$14,$M19,CF$13)="",10^12,OFFSET(PLE!$G$14,$M19,CF$13))))</f>
        <v>1000000000000</v>
      </c>
      <c r="CG19" s="217">
        <f ca="1">IF($D19&lt;&gt;"Serviço",0,IF(OR(AND(AUTOEVENTO="Manual",$M19=1),$M19&gt;(ROW(PLE.lastrow)-ROW(PLE.firstrow))),0,IF(OFFSET(PLE!$G$14,$M19,CG$13)="",10^12,OFFSET(PLE!$G$14,$M19,CG$13))))</f>
        <v>1000000000000</v>
      </c>
      <c r="CH19" s="217">
        <f ca="1">IF($D19&lt;&gt;"Serviço",0,IF(OR(AND(AUTOEVENTO="Manual",$M19=1),$M19&gt;(ROW(PLE.lastrow)-ROW(PLE.firstrow))),0,IF(OFFSET(PLE!$G$14,$M19,CH$13)="",10^12,OFFSET(PLE!$G$14,$M19,CH$13))))</f>
        <v>1000000000000</v>
      </c>
      <c r="CI19" s="217">
        <f ca="1">IF($D19&lt;&gt;"Serviço",0,IF(OR(AND(AUTOEVENTO="Manual",$M19=1),$M19&gt;(ROW(PLE.lastrow)-ROW(PLE.firstrow))),0,IF(OFFSET(PLE!$G$14,$M19,CI$13)="",10^12,OFFSET(PLE!$G$14,$M19,CI$13))))</f>
        <v>1000000000000</v>
      </c>
      <c r="CJ19" s="217">
        <f ca="1">IF($D19&lt;&gt;"Serviço",0,IF(OR(AND(AUTOEVENTO="Manual",$M19=1),$M19&gt;(ROW(PLE.lastrow)-ROW(PLE.firstrow))),0,IF(OFFSET(PLE!$G$14,$M19,CJ$13)="",10^12,OFFSET(PLE!$G$14,$M19,CJ$13))))</f>
        <v>1000000000000</v>
      </c>
      <c r="CK19" s="217">
        <f ca="1">IF($D19&lt;&gt;"Serviço",0,IF(OR(AND(AUTOEVENTO="Manual",$M19=1),$M19&gt;(ROW(PLE.lastrow)-ROW(PLE.firstrow))),0,IF(OFFSET(PLE!$G$14,$M19,CK$13)="",10^12,OFFSET(PLE!$G$14,$M19,CK$13))))</f>
        <v>1000000000000</v>
      </c>
      <c r="CL19" s="217">
        <f ca="1">IF($D19&lt;&gt;"Serviço",0,IF(OR(AND(AUTOEVENTO="Manual",$M19=1),$M19&gt;(ROW(PLE.lastrow)-ROW(PLE.firstrow))),0,IF(OFFSET(PLE!$G$14,$M19,CL$13)="",10^12,OFFSET(PLE!$G$14,$M19,CL$13))))</f>
        <v>1000000000000</v>
      </c>
      <c r="CM19" s="217">
        <f ca="1">IF($D19&lt;&gt;"Serviço",0,IF(OR(AND(AUTOEVENTO="Manual",$M19=1),$M19&gt;(ROW(PLE.lastrow)-ROW(PLE.firstrow))),0,IF(OFFSET(PLE!$G$14,$M19,CM$13)="",10^12,OFFSET(PLE!$G$14,$M19,CM$13))))</f>
        <v>1000000000000</v>
      </c>
    </row>
    <row r="20" spans="1:91" ht="12.75" x14ac:dyDescent="0.2">
      <c r="A20" s="9" t="str">
        <f t="shared" ca="1" si="9"/>
        <v>5.</v>
      </c>
      <c r="B20" s="9">
        <f ca="1">OFFSET(ORÇAMENTO!C$15,ROW(B20)-ROW(B$15),0)</f>
        <v>2</v>
      </c>
      <c r="C20" s="9" t="str">
        <f ca="1">OFFSET(ORÇAMENTO!L$15,ROW(C20)-ROW(C$15),0)</f>
        <v>F</v>
      </c>
      <c r="D20" s="146" t="str">
        <f ca="1">OFFSET(ORÇAMENTO!N$15,ROW(D20)-ROW(D$15),0)</f>
        <v>Nível 2</v>
      </c>
      <c r="E20" s="206" t="str">
        <f ca="1">OFFSET(ORÇAMENTO!O$15,ROW(E20)-ROW(E$15),0)</f>
        <v>1.2.</v>
      </c>
      <c r="F20" s="207" t="str">
        <f ca="1">OFFSET(ORÇAMENTO!R$15,ROW(F20)-ROW(F$15),0)</f>
        <v xml:space="preserve">TERRAPLANAGEM </v>
      </c>
      <c r="G20" s="208" t="str">
        <f ca="1">IF($D20&lt;&gt;"Serviço","",OFFSET(ORÇAMENTO!S$15,ROW(G20)-ROW(G$15),0))</f>
        <v/>
      </c>
      <c r="H20" s="152">
        <f ca="1">IF($D20&lt;&gt;"Serviço",0,IF(ACOMPANHAMENTO="BM",ROUND(OFFSET(ORÇAMENTO!AJ$15,ROW(H20)-ROW(H$15),0),15-13*ORÇAMENTO!$AF$7),SUMPRODUCT(($Q$12:$AI$12&lt;&gt;"")*ROUND($Q20:$AI20,15-13*ORÇAMENTO!$AF$7))))</f>
        <v>0</v>
      </c>
      <c r="I20" s="649"/>
      <c r="K20" s="209"/>
      <c r="L20" s="210" t="s">
        <v>255</v>
      </c>
      <c r="M20" s="211" t="str">
        <f ca="1">IF($D20&lt;&gt;"Serviço","",IF(AUTOEVENTO="manual",$A20,IF(ISERROR(MATCH($A20,$A$15:OFFSET($A20,-1,0),0)),MAX($M$15:OFFSET(M20,-1,0))+1,INDEX($M$15:OFFSET(M20,-1,0),MATCH($A20,$A$15:OFFSET($A20,-1,0),0)))))</f>
        <v/>
      </c>
      <c r="N20" s="212" t="str">
        <f ca="1">IF($D20&lt;&gt;"Serviço","",IF(AUTOEVENTO="Manual",IF($A20=0,"&lt;-- defina o número do agrupador",OFFSET(EVENTOS!$D$14,$A20,0)),OFFSET($F$15,$A20,0)))</f>
        <v/>
      </c>
      <c r="O20" s="213"/>
      <c r="Q20" s="213"/>
      <c r="R20" s="214"/>
      <c r="S20" s="214"/>
      <c r="T20" s="214"/>
      <c r="U20" s="214"/>
      <c r="V20" s="214"/>
      <c r="W20" s="214"/>
      <c r="X20" s="214"/>
      <c r="Y20" s="215"/>
      <c r="Z20" s="214"/>
      <c r="AA20" s="214"/>
      <c r="AB20" s="214"/>
      <c r="AC20" s="214"/>
      <c r="AD20" s="214"/>
      <c r="AE20" s="214"/>
      <c r="AF20" s="214"/>
      <c r="AG20" s="214"/>
      <c r="AH20" s="215"/>
      <c r="AJ20" s="630">
        <f ca="1">IF(AND($D20="Serviço",AJ$12&lt;&gt;0,$H20&gt;0,OR(AUTOEVENTO&lt;&gt;"manual",$M20&lt;&gt;1)),
IF(Import.TipoArredondamento&lt;&gt;"TransfereGOV",
ROUND(OFFSET($P20,0,AJ$13),15-13*ORÇAMENTO!$AF$7)/$H20*OFFSET(ORÇAMENTO!$X$15,ROW(AJ20)-ROW(AJ$15),0),
ROUND(ROUND(OFFSET($P20,0,AJ$13),15-13*ORÇAMENTO!$AF$7)*OFFSET(ORÇAMENTO!$W$15,ROW(AJ20)-ROW(AJ$15),0),15-13*ORÇAMENTO!$AF$11)),0)</f>
        <v>0</v>
      </c>
      <c r="AK20" s="631">
        <f ca="1">IF(AND($D20="Serviço",AK$12&lt;&gt;0,$H20&gt;0,OR(AUTOEVENTO&lt;&gt;"manual",$M20&lt;&gt;1)),
IF(Import.TipoArredondamento&lt;&gt;"TransfereGOV",
ROUND(OFFSET($P20,0,AK$13),15-13*ORÇAMENTO!$AF$7)/$H20*OFFSET(ORÇAMENTO!$X$15,ROW(AK20)-ROW(AK$15),0),
ROUND(ROUND(OFFSET($P20,0,AK$13),15-13*ORÇAMENTO!$AF$7)*OFFSET(ORÇAMENTO!$W$15,ROW(AK20)-ROW(AK$15),0),15-13*ORÇAMENTO!$AF$11)),0)</f>
        <v>0</v>
      </c>
      <c r="AL20" s="631">
        <f ca="1">IF(AND($D20="Serviço",AL$12&lt;&gt;0,$H20&gt;0,OR(AUTOEVENTO&lt;&gt;"manual",$M20&lt;&gt;1)),
IF(Import.TipoArredondamento&lt;&gt;"TransfereGOV",
ROUND(OFFSET($P20,0,AL$13),15-13*ORÇAMENTO!$AF$7)/$H20*OFFSET(ORÇAMENTO!$X$15,ROW(AL20)-ROW(AL$15),0),
ROUND(ROUND(OFFSET($P20,0,AL$13),15-13*ORÇAMENTO!$AF$7)*OFFSET(ORÇAMENTO!$W$15,ROW(AL20)-ROW(AL$15),0),15-13*ORÇAMENTO!$AF$11)),0)</f>
        <v>0</v>
      </c>
      <c r="AM20" s="631">
        <f ca="1">IF(AND($D20="Serviço",AM$12&lt;&gt;0,$H20&gt;0,OR(AUTOEVENTO&lt;&gt;"manual",$M20&lt;&gt;1)),
IF(Import.TipoArredondamento&lt;&gt;"TransfereGOV",
ROUND(OFFSET($P20,0,AM$13),15-13*ORÇAMENTO!$AF$7)/$H20*OFFSET(ORÇAMENTO!$X$15,ROW(AM20)-ROW(AM$15),0),
ROUND(ROUND(OFFSET($P20,0,AM$13),15-13*ORÇAMENTO!$AF$7)*OFFSET(ORÇAMENTO!$W$15,ROW(AM20)-ROW(AM$15),0),15-13*ORÇAMENTO!$AF$11)),0)</f>
        <v>0</v>
      </c>
      <c r="AN20" s="631">
        <f ca="1">IF(AND($D20="Serviço",AN$12&lt;&gt;0,$H20&gt;0,OR(AUTOEVENTO&lt;&gt;"manual",$M20&lt;&gt;1)),
IF(Import.TipoArredondamento&lt;&gt;"TransfereGOV",
ROUND(OFFSET($P20,0,AN$13),15-13*ORÇAMENTO!$AF$7)/$H20*OFFSET(ORÇAMENTO!$X$15,ROW(AN20)-ROW(AN$15),0),
ROUND(ROUND(OFFSET($P20,0,AN$13),15-13*ORÇAMENTO!$AF$7)*OFFSET(ORÇAMENTO!$W$15,ROW(AN20)-ROW(AN$15),0),15-13*ORÇAMENTO!$AF$11)),0)</f>
        <v>0</v>
      </c>
      <c r="AO20" s="631">
        <f ca="1">IF(AND($D20="Serviço",AO$12&lt;&gt;0,$H20&gt;0,OR(AUTOEVENTO&lt;&gt;"manual",$M20&lt;&gt;1)),
IF(Import.TipoArredondamento&lt;&gt;"TransfereGOV",
ROUND(OFFSET($P20,0,AO$13),15-13*ORÇAMENTO!$AF$7)/$H20*OFFSET(ORÇAMENTO!$X$15,ROW(AO20)-ROW(AO$15),0),
ROUND(ROUND(OFFSET($P20,0,AO$13),15-13*ORÇAMENTO!$AF$7)*OFFSET(ORÇAMENTO!$W$15,ROW(AO20)-ROW(AO$15),0),15-13*ORÇAMENTO!$AF$11)),0)</f>
        <v>0</v>
      </c>
      <c r="AP20" s="631">
        <f ca="1">IF(AND($D20="Serviço",AP$12&lt;&gt;0,$H20&gt;0,OR(AUTOEVENTO&lt;&gt;"manual",$M20&lt;&gt;1)),
IF(Import.TipoArredondamento&lt;&gt;"TransfereGOV",
ROUND(OFFSET($P20,0,AP$13),15-13*ORÇAMENTO!$AF$7)/$H20*OFFSET(ORÇAMENTO!$X$15,ROW(AP20)-ROW(AP$15),0),
ROUND(ROUND(OFFSET($P20,0,AP$13),15-13*ORÇAMENTO!$AF$7)*OFFSET(ORÇAMENTO!$W$15,ROW(AP20)-ROW(AP$15),0),15-13*ORÇAMENTO!$AF$11)),0)</f>
        <v>0</v>
      </c>
      <c r="AQ20" s="631">
        <f ca="1">IF(AND($D20="Serviço",AQ$12&lt;&gt;0,$H20&gt;0,OR(AUTOEVENTO&lt;&gt;"manual",$M20&lt;&gt;1)),
IF(Import.TipoArredondamento&lt;&gt;"TransfereGOV",
ROUND(OFFSET($P20,0,AQ$13),15-13*ORÇAMENTO!$AF$7)/$H20*OFFSET(ORÇAMENTO!$X$15,ROW(AQ20)-ROW(AQ$15),0),
ROUND(ROUND(OFFSET($P20,0,AQ$13),15-13*ORÇAMENTO!$AF$7)*OFFSET(ORÇAMENTO!$W$15,ROW(AQ20)-ROW(AQ$15),0),15-13*ORÇAMENTO!$AF$11)),0)</f>
        <v>0</v>
      </c>
      <c r="AR20" s="631">
        <f ca="1">IF(AND($D20="Serviço",AR$12&lt;&gt;0,$H20&gt;0,OR(AUTOEVENTO&lt;&gt;"manual",$M20&lt;&gt;1)),
IF(Import.TipoArredondamento&lt;&gt;"TransfereGOV",
ROUND(OFFSET($P20,0,AR$13),15-13*ORÇAMENTO!$AF$7)/$H20*OFFSET(ORÇAMENTO!$X$15,ROW(AR20)-ROW(AR$15),0),
ROUND(ROUND(OFFSET($P20,0,AR$13),15-13*ORÇAMENTO!$AF$7)*OFFSET(ORÇAMENTO!$W$15,ROW(AR20)-ROW(AR$15),0),15-13*ORÇAMENTO!$AF$11)),0)</f>
        <v>0</v>
      </c>
      <c r="AS20" s="632">
        <f ca="1">IF(AND($D20="Serviço",AS$12&lt;&gt;0,$H20&gt;0,OR(AUTOEVENTO&lt;&gt;"manual",$M20&lt;&gt;1)),
IF(Import.TipoArredondamento&lt;&gt;"TransfereGOV",
ROUND(OFFSET($P20,0,AS$13),15-13*ORÇAMENTO!$AF$7)/$H20*OFFSET(ORÇAMENTO!$X$15,ROW(AS20)-ROW(AS$15),0),
ROUND(ROUND(OFFSET($P20,0,AS$13),15-13*ORÇAMENTO!$AF$7)*OFFSET(ORÇAMENTO!$W$15,ROW(AS20)-ROW(AS$15),0),15-13*ORÇAMENTO!$AF$11)),0)</f>
        <v>0</v>
      </c>
      <c r="AT20" s="631">
        <f ca="1">IF(AND($D20="Serviço",AT$12&lt;&gt;0,$H20&gt;0,OR(AUTOEVENTO&lt;&gt;"manual",$M20&lt;&gt;1)),
IF(Import.TipoArredondamento&lt;&gt;"TransfereGOV",
ROUND(OFFSET($P20,0,AT$13),15-13*ORÇAMENTO!$AF$7)/$H20*OFFSET(ORÇAMENTO!$X$15,ROW(AT20)-ROW(AT$15),0),
ROUND(ROUND(OFFSET($P20,0,AT$13),15-13*ORÇAMENTO!$AF$7)*OFFSET(ORÇAMENTO!$W$15,ROW(AT20)-ROW(AT$15),0),15-13*ORÇAMENTO!$AF$11)),0)</f>
        <v>0</v>
      </c>
      <c r="AU20" s="631">
        <f ca="1">IF(AND($D20="Serviço",AU$12&lt;&gt;0,$H20&gt;0,OR(AUTOEVENTO&lt;&gt;"manual",$M20&lt;&gt;1)),
IF(Import.TipoArredondamento&lt;&gt;"TransfereGOV",
ROUND(OFFSET($P20,0,AU$13),15-13*ORÇAMENTO!$AF$7)/$H20*OFFSET(ORÇAMENTO!$X$15,ROW(AU20)-ROW(AU$15),0),
ROUND(ROUND(OFFSET($P20,0,AU$13),15-13*ORÇAMENTO!$AF$7)*OFFSET(ORÇAMENTO!$W$15,ROW(AU20)-ROW(AU$15),0),15-13*ORÇAMENTO!$AF$11)),0)</f>
        <v>0</v>
      </c>
      <c r="AV20" s="631">
        <f ca="1">IF(AND($D20="Serviço",AV$12&lt;&gt;0,$H20&gt;0,OR(AUTOEVENTO&lt;&gt;"manual",$M20&lt;&gt;1)),
IF(Import.TipoArredondamento&lt;&gt;"TransfereGOV",
ROUND(OFFSET($P20,0,AV$13),15-13*ORÇAMENTO!$AF$7)/$H20*OFFSET(ORÇAMENTO!$X$15,ROW(AV20)-ROW(AV$15),0),
ROUND(ROUND(OFFSET($P20,0,AV$13),15-13*ORÇAMENTO!$AF$7)*OFFSET(ORÇAMENTO!$W$15,ROW(AV20)-ROW(AV$15),0),15-13*ORÇAMENTO!$AF$11)),0)</f>
        <v>0</v>
      </c>
      <c r="AW20" s="631">
        <f ca="1">IF(AND($D20="Serviço",AW$12&lt;&gt;0,$H20&gt;0,OR(AUTOEVENTO&lt;&gt;"manual",$M20&lt;&gt;1)),
IF(Import.TipoArredondamento&lt;&gt;"TransfereGOV",
ROUND(OFFSET($P20,0,AW$13),15-13*ORÇAMENTO!$AF$7)/$H20*OFFSET(ORÇAMENTO!$X$15,ROW(AW20)-ROW(AW$15),0),
ROUND(ROUND(OFFSET($P20,0,AW$13),15-13*ORÇAMENTO!$AF$7)*OFFSET(ORÇAMENTO!$W$15,ROW(AW20)-ROW(AW$15),0),15-13*ORÇAMENTO!$AF$11)),0)</f>
        <v>0</v>
      </c>
      <c r="AX20" s="631">
        <f ca="1">IF(AND($D20="Serviço",AX$12&lt;&gt;0,$H20&gt;0,OR(AUTOEVENTO&lt;&gt;"manual",$M20&lt;&gt;1)),
IF(Import.TipoArredondamento&lt;&gt;"TransfereGOV",
ROUND(OFFSET($P20,0,AX$13),15-13*ORÇAMENTO!$AF$7)/$H20*OFFSET(ORÇAMENTO!$X$15,ROW(AX20)-ROW(AX$15),0),
ROUND(ROUND(OFFSET($P20,0,AX$13),15-13*ORÇAMENTO!$AF$7)*OFFSET(ORÇAMENTO!$W$15,ROW(AX20)-ROW(AX$15),0),15-13*ORÇAMENTO!$AF$11)),0)</f>
        <v>0</v>
      </c>
      <c r="AY20" s="631">
        <f ca="1">IF(AND($D20="Serviço",AY$12&lt;&gt;0,$H20&gt;0,OR(AUTOEVENTO&lt;&gt;"manual",$M20&lt;&gt;1)),
IF(Import.TipoArredondamento&lt;&gt;"TransfereGOV",
ROUND(OFFSET($P20,0,AY$13),15-13*ORÇAMENTO!$AF$7)/$H20*OFFSET(ORÇAMENTO!$X$15,ROW(AY20)-ROW(AY$15),0),
ROUND(ROUND(OFFSET($P20,0,AY$13),15-13*ORÇAMENTO!$AF$7)*OFFSET(ORÇAMENTO!$W$15,ROW(AY20)-ROW(AY$15),0),15-13*ORÇAMENTO!$AF$11)),0)</f>
        <v>0</v>
      </c>
      <c r="AZ20" s="631">
        <f ca="1">IF(AND($D20="Serviço",AZ$12&lt;&gt;0,$H20&gt;0,OR(AUTOEVENTO&lt;&gt;"manual",$M20&lt;&gt;1)),
IF(Import.TipoArredondamento&lt;&gt;"TransfereGOV",
ROUND(OFFSET($P20,0,AZ$13),15-13*ORÇAMENTO!$AF$7)/$H20*OFFSET(ORÇAMENTO!$X$15,ROW(AZ20)-ROW(AZ$15),0),
ROUND(ROUND(OFFSET($P20,0,AZ$13),15-13*ORÇAMENTO!$AF$7)*OFFSET(ORÇAMENTO!$W$15,ROW(AZ20)-ROW(AZ$15),0),15-13*ORÇAMENTO!$AF$11)),0)</f>
        <v>0</v>
      </c>
      <c r="BA20" s="632">
        <f ca="1">IF(AND($D20="Serviço",BA$12&lt;&gt;0,$H20&gt;0,OR(AUTOEVENTO&lt;&gt;"manual",$M20&lt;&gt;1)),
IF(Import.TipoArredondamento&lt;&gt;"TransfereGOV",
ROUND(OFFSET($P20,0,BA$13),15-13*ORÇAMENTO!$AF$7)/$H20*OFFSET(ORÇAMENTO!$X$15,ROW(BA20)-ROW(BA$15),0),
ROUND(ROUND(OFFSET($P20,0,BA$13),15-13*ORÇAMENTO!$AF$7)*OFFSET(ORÇAMENTO!$W$15,ROW(BA20)-ROW(BA$15),0),15-13*ORÇAMENTO!$AF$11)),0)</f>
        <v>0</v>
      </c>
      <c r="BC20" s="216">
        <f ca="1">IF($D20&lt;&gt;"Serviço",0,IF(AND(AUTOEVENTO="Manual",$M20=1),0,IF(OFFSET(CRONOPLE!$F$14,$M20,BC$13)="",10^12,OFFSET(CRONOPLE!$F$14,$M20,BC$13))))</f>
        <v>0</v>
      </c>
      <c r="BD20" s="216">
        <f ca="1">IF($D20&lt;&gt;"Serviço",0,IF(AND(AUTOEVENTO="Manual",$M20=1),0,IF(OFFSET(CRONOPLE!$F$14,$M20,BD$13)="",10^12,OFFSET(CRONOPLE!$F$14,$M20,BD$13))))</f>
        <v>0</v>
      </c>
      <c r="BE20" s="216">
        <f ca="1">IF($D20&lt;&gt;"Serviço",0,IF(AND(AUTOEVENTO="Manual",$M20=1),0,IF(OFFSET(CRONOPLE!$F$14,$M20,BE$13)="",10^12,OFFSET(CRONOPLE!$F$14,$M20,BE$13))))</f>
        <v>0</v>
      </c>
      <c r="BF20" s="216">
        <f ca="1">IF($D20&lt;&gt;"Serviço",0,IF(AND(AUTOEVENTO="Manual",$M20=1),0,IF(OFFSET(CRONOPLE!$F$14,$M20,BF$13)="",10^12,OFFSET(CRONOPLE!$F$14,$M20,BF$13))))</f>
        <v>0</v>
      </c>
      <c r="BG20" s="216">
        <f ca="1">IF($D20&lt;&gt;"Serviço",0,IF(AND(AUTOEVENTO="Manual",$M20=1),0,IF(OFFSET(CRONOPLE!$F$14,$M20,BG$13)="",10^12,OFFSET(CRONOPLE!$F$14,$M20,BG$13))))</f>
        <v>0</v>
      </c>
      <c r="BH20" s="216">
        <f ca="1">IF($D20&lt;&gt;"Serviço",0,IF(AND(AUTOEVENTO="Manual",$M20=1),0,IF(OFFSET(CRONOPLE!$F$14,$M20,BH$13)="",10^12,OFFSET(CRONOPLE!$F$14,$M20,BH$13))))</f>
        <v>0</v>
      </c>
      <c r="BI20" s="216">
        <f ca="1">IF($D20&lt;&gt;"Serviço",0,IF(AND(AUTOEVENTO="Manual",$M20=1),0,IF(OFFSET(CRONOPLE!$F$14,$M20,BI$13)="",10^12,OFFSET(CRONOPLE!$F$14,$M20,BI$13))))</f>
        <v>0</v>
      </c>
      <c r="BJ20" s="216">
        <f ca="1">IF($D20&lt;&gt;"Serviço",0,IF(AND(AUTOEVENTO="Manual",$M20=1),0,IF(OFFSET(CRONOPLE!$F$14,$M20,BJ$13)="",10^12,OFFSET(CRONOPLE!$F$14,$M20,BJ$13))))</f>
        <v>0</v>
      </c>
      <c r="BK20" s="216">
        <f ca="1">IF($D20&lt;&gt;"Serviço",0,IF(AND(AUTOEVENTO="Manual",$M20=1),0,IF(OFFSET(CRONOPLE!$F$14,$M20,BK$13)="",10^12,OFFSET(CRONOPLE!$F$14,$M20,BK$13))))</f>
        <v>0</v>
      </c>
      <c r="BL20" s="216">
        <f ca="1">IF($D20&lt;&gt;"Serviço",0,IF(AND(AUTOEVENTO="Manual",$M20=1),0,IF(OFFSET(CRONOPLE!$F$14,$M20,BL$13)="",10^12,OFFSET(CRONOPLE!$F$14,$M20,BL$13))))</f>
        <v>0</v>
      </c>
      <c r="BM20" s="216">
        <f ca="1">IF($D20&lt;&gt;"Serviço",0,IF(AND(AUTOEVENTO="Manual",$M20=1),0,IF(OFFSET(CRONOPLE!$F$14,$M20,BM$13)="",10^12,OFFSET(CRONOPLE!$F$14,$M20,BM$13))))</f>
        <v>0</v>
      </c>
      <c r="BN20" s="216">
        <f ca="1">IF($D20&lt;&gt;"Serviço",0,IF(AND(AUTOEVENTO="Manual",$M20=1),0,IF(OFFSET(CRONOPLE!$F$14,$M20,BN$13)="",10^12,OFFSET(CRONOPLE!$F$14,$M20,BN$13))))</f>
        <v>0</v>
      </c>
      <c r="BO20" s="216">
        <f ca="1">IF($D20&lt;&gt;"Serviço",0,IF(AND(AUTOEVENTO="Manual",$M20=1),0,IF(OFFSET(CRONOPLE!$F$14,$M20,BO$13)="",10^12,OFFSET(CRONOPLE!$F$14,$M20,BO$13))))</f>
        <v>0</v>
      </c>
      <c r="BP20" s="216">
        <f ca="1">IF($D20&lt;&gt;"Serviço",0,IF(AND(AUTOEVENTO="Manual",$M20=1),0,IF(OFFSET(CRONOPLE!$F$14,$M20,BP$13)="",10^12,OFFSET(CRONOPLE!$F$14,$M20,BP$13))))</f>
        <v>0</v>
      </c>
      <c r="BQ20" s="216">
        <f ca="1">IF($D20&lt;&gt;"Serviço",0,IF(AND(AUTOEVENTO="Manual",$M20=1),0,IF(OFFSET(CRONOPLE!$F$14,$M20,BQ$13)="",10^12,OFFSET(CRONOPLE!$F$14,$M20,BQ$13))))</f>
        <v>0</v>
      </c>
      <c r="BR20" s="216">
        <f ca="1">IF($D20&lt;&gt;"Serviço",0,IF(AND(AUTOEVENTO="Manual",$M20=1),0,IF(OFFSET(CRONOPLE!$F$14,$M20,BR$13)="",10^12,OFFSET(CRONOPLE!$F$14,$M20,BR$13))))</f>
        <v>0</v>
      </c>
      <c r="BS20" s="216">
        <f ca="1">IF($D20&lt;&gt;"Serviço",0,IF(AND(AUTOEVENTO="Manual",$M20=1),0,IF(OFFSET(CRONOPLE!$F$14,$M20,BS$13)="",10^12,OFFSET(CRONOPLE!$F$14,$M20,BS$13))))</f>
        <v>0</v>
      </c>
      <c r="BT20" s="216">
        <f ca="1">IF($D20&lt;&gt;"Serviço",0,IF(AND(AUTOEVENTO="Manual",$M20=1),0,IF(OFFSET(CRONOPLE!$F$14,$M20,BT$13)="",10^12,OFFSET(CRONOPLE!$F$14,$M20,BT$13))))</f>
        <v>0</v>
      </c>
      <c r="BV20" s="217">
        <f ca="1">IF($D20&lt;&gt;"Serviço",0,IF(OR(AND(AUTOEVENTO="Manual",$M20=1),$M20&gt;(ROW(PLE.lastrow)-ROW(PLE.firstrow))),0,IF(OFFSET(PLE!$G$14,$M20,BV$13)="",10^12,OFFSET(PLE!$G$14,$M20,BV$13))))</f>
        <v>0</v>
      </c>
      <c r="BW20" s="217">
        <f ca="1">IF($D20&lt;&gt;"Serviço",0,IF(OR(AND(AUTOEVENTO="Manual",$M20=1),$M20&gt;(ROW(PLE.lastrow)-ROW(PLE.firstrow))),0,IF(OFFSET(PLE!$G$14,$M20,BW$13)="",10^12,OFFSET(PLE!$G$14,$M20,BW$13))))</f>
        <v>0</v>
      </c>
      <c r="BX20" s="217">
        <f ca="1">IF($D20&lt;&gt;"Serviço",0,IF(OR(AND(AUTOEVENTO="Manual",$M20=1),$M20&gt;(ROW(PLE.lastrow)-ROW(PLE.firstrow))),0,IF(OFFSET(PLE!$G$14,$M20,BX$13)="",10^12,OFFSET(PLE!$G$14,$M20,BX$13))))</f>
        <v>0</v>
      </c>
      <c r="BY20" s="217">
        <f ca="1">IF($D20&lt;&gt;"Serviço",0,IF(OR(AND(AUTOEVENTO="Manual",$M20=1),$M20&gt;(ROW(PLE.lastrow)-ROW(PLE.firstrow))),0,IF(OFFSET(PLE!$G$14,$M20,BY$13)="",10^12,OFFSET(PLE!$G$14,$M20,BY$13))))</f>
        <v>0</v>
      </c>
      <c r="BZ20" s="217">
        <f ca="1">IF($D20&lt;&gt;"Serviço",0,IF(OR(AND(AUTOEVENTO="Manual",$M20=1),$M20&gt;(ROW(PLE.lastrow)-ROW(PLE.firstrow))),0,IF(OFFSET(PLE!$G$14,$M20,BZ$13)="",10^12,OFFSET(PLE!$G$14,$M20,BZ$13))))</f>
        <v>0</v>
      </c>
      <c r="CA20" s="217">
        <f ca="1">IF($D20&lt;&gt;"Serviço",0,IF(OR(AND(AUTOEVENTO="Manual",$M20=1),$M20&gt;(ROW(PLE.lastrow)-ROW(PLE.firstrow))),0,IF(OFFSET(PLE!$G$14,$M20,CA$13)="",10^12,OFFSET(PLE!$G$14,$M20,CA$13))))</f>
        <v>0</v>
      </c>
      <c r="CB20" s="217">
        <f ca="1">IF($D20&lt;&gt;"Serviço",0,IF(OR(AND(AUTOEVENTO="Manual",$M20=1),$M20&gt;(ROW(PLE.lastrow)-ROW(PLE.firstrow))),0,IF(OFFSET(PLE!$G$14,$M20,CB$13)="",10^12,OFFSET(PLE!$G$14,$M20,CB$13))))</f>
        <v>0</v>
      </c>
      <c r="CC20" s="217">
        <f ca="1">IF($D20&lt;&gt;"Serviço",0,IF(OR(AND(AUTOEVENTO="Manual",$M20=1),$M20&gt;(ROW(PLE.lastrow)-ROW(PLE.firstrow))),0,IF(OFFSET(PLE!$G$14,$M20,CC$13)="",10^12,OFFSET(PLE!$G$14,$M20,CC$13))))</f>
        <v>0</v>
      </c>
      <c r="CD20" s="217">
        <f ca="1">IF($D20&lt;&gt;"Serviço",0,IF(OR(AND(AUTOEVENTO="Manual",$M20=1),$M20&gt;(ROW(PLE.lastrow)-ROW(PLE.firstrow))),0,IF(OFFSET(PLE!$G$14,$M20,CD$13)="",10^12,OFFSET(PLE!$G$14,$M20,CD$13))))</f>
        <v>0</v>
      </c>
      <c r="CE20" s="217">
        <f ca="1">IF($D20&lt;&gt;"Serviço",0,IF(OR(AND(AUTOEVENTO="Manual",$M20=1),$M20&gt;(ROW(PLE.lastrow)-ROW(PLE.firstrow))),0,IF(OFFSET(PLE!$G$14,$M20,CE$13)="",10^12,OFFSET(PLE!$G$14,$M20,CE$13))))</f>
        <v>0</v>
      </c>
      <c r="CF20" s="217">
        <f ca="1">IF($D20&lt;&gt;"Serviço",0,IF(OR(AND(AUTOEVENTO="Manual",$M20=1),$M20&gt;(ROW(PLE.lastrow)-ROW(PLE.firstrow))),0,IF(OFFSET(PLE!$G$14,$M20,CF$13)="",10^12,OFFSET(PLE!$G$14,$M20,CF$13))))</f>
        <v>0</v>
      </c>
      <c r="CG20" s="217">
        <f ca="1">IF($D20&lt;&gt;"Serviço",0,IF(OR(AND(AUTOEVENTO="Manual",$M20=1),$M20&gt;(ROW(PLE.lastrow)-ROW(PLE.firstrow))),0,IF(OFFSET(PLE!$G$14,$M20,CG$13)="",10^12,OFFSET(PLE!$G$14,$M20,CG$13))))</f>
        <v>0</v>
      </c>
      <c r="CH20" s="217">
        <f ca="1">IF($D20&lt;&gt;"Serviço",0,IF(OR(AND(AUTOEVENTO="Manual",$M20=1),$M20&gt;(ROW(PLE.lastrow)-ROW(PLE.firstrow))),0,IF(OFFSET(PLE!$G$14,$M20,CH$13)="",10^12,OFFSET(PLE!$G$14,$M20,CH$13))))</f>
        <v>0</v>
      </c>
      <c r="CI20" s="217">
        <f ca="1">IF($D20&lt;&gt;"Serviço",0,IF(OR(AND(AUTOEVENTO="Manual",$M20=1),$M20&gt;(ROW(PLE.lastrow)-ROW(PLE.firstrow))),0,IF(OFFSET(PLE!$G$14,$M20,CI$13)="",10^12,OFFSET(PLE!$G$14,$M20,CI$13))))</f>
        <v>0</v>
      </c>
      <c r="CJ20" s="217">
        <f ca="1">IF($D20&lt;&gt;"Serviço",0,IF(OR(AND(AUTOEVENTO="Manual",$M20=1),$M20&gt;(ROW(PLE.lastrow)-ROW(PLE.firstrow))),0,IF(OFFSET(PLE!$G$14,$M20,CJ$13)="",10^12,OFFSET(PLE!$G$14,$M20,CJ$13))))</f>
        <v>0</v>
      </c>
      <c r="CK20" s="217">
        <f ca="1">IF($D20&lt;&gt;"Serviço",0,IF(OR(AND(AUTOEVENTO="Manual",$M20=1),$M20&gt;(ROW(PLE.lastrow)-ROW(PLE.firstrow))),0,IF(OFFSET(PLE!$G$14,$M20,CK$13)="",10^12,OFFSET(PLE!$G$14,$M20,CK$13))))</f>
        <v>0</v>
      </c>
      <c r="CL20" s="217">
        <f ca="1">IF($D20&lt;&gt;"Serviço",0,IF(OR(AND(AUTOEVENTO="Manual",$M20=1),$M20&gt;(ROW(PLE.lastrow)-ROW(PLE.firstrow))),0,IF(OFFSET(PLE!$G$14,$M20,CL$13)="",10^12,OFFSET(PLE!$G$14,$M20,CL$13))))</f>
        <v>0</v>
      </c>
      <c r="CM20" s="217">
        <f ca="1">IF($D20&lt;&gt;"Serviço",0,IF(OR(AND(AUTOEVENTO="Manual",$M20=1),$M20&gt;(ROW(PLE.lastrow)-ROW(PLE.firstrow))),0,IF(OFFSET(PLE!$G$14,$M20,CM$13)="",10^12,OFFSET(PLE!$G$14,$M20,CM$13))))</f>
        <v>0</v>
      </c>
    </row>
    <row r="21" spans="1:91" ht="25.5" x14ac:dyDescent="0.2">
      <c r="A21" s="9" t="str">
        <f t="shared" ca="1" si="9"/>
        <v>5</v>
      </c>
      <c r="B21" s="9" t="str">
        <f ca="1">OFFSET(ORÇAMENTO!C$15,ROW(B21)-ROW(B$15),0)</f>
        <v>S</v>
      </c>
      <c r="C21" s="9" t="str">
        <f ca="1">OFFSET(ORÇAMENTO!L$15,ROW(C21)-ROW(C$15),0)</f>
        <v/>
      </c>
      <c r="D21" s="146" t="str">
        <f ca="1">OFFSET(ORÇAMENTO!N$15,ROW(D21)-ROW(D$15),0)</f>
        <v>Serviço</v>
      </c>
      <c r="E21" s="206" t="str">
        <f ca="1">OFFSET(ORÇAMENTO!O$15,ROW(E21)-ROW(E$15),0)</f>
        <v>-</v>
      </c>
      <c r="F21" s="207" t="str">
        <f ca="1">OFFSET(ORÇAMENTO!R$15,ROW(F21)-ROW(F$15),0)</f>
        <v>(abra o arquivo 'Referência 12-2023.xlsm)</v>
      </c>
      <c r="G21" s="208" t="str">
        <f ca="1">IF($D21&lt;&gt;"Serviço","",OFFSET(ORÇAMENTO!S$15,ROW(G21)-ROW(G$15),0))</f>
        <v>-</v>
      </c>
      <c r="H21" s="152">
        <f ca="1">IF($D21&lt;&gt;"Serviço",0,IF(ACOMPANHAMENTO="BM",ROUND(OFFSET(ORÇAMENTO!AJ$15,ROW(H21)-ROW(H$15),0),15-13*ORÇAMENTO!$AF$7),SUMPRODUCT(($Q$12:$AI$12&lt;&gt;"")*ROUND($Q21:$AI21,15-13*ORÇAMENTO!$AF$7))))</f>
        <v>13307.249999999998</v>
      </c>
      <c r="I21" s="649" t="s">
        <v>504</v>
      </c>
      <c r="K21" s="209"/>
      <c r="L21" s="210" t="s">
        <v>255</v>
      </c>
      <c r="M21" s="211">
        <f ca="1">IF($D21&lt;&gt;"Serviço","",IF(AUTOEVENTO="manual",$A21,IF(ISERROR(MATCH($A21,$A$15:OFFSET($A21,-1,0),0)),MAX($M$15:OFFSET(M21,-1,0))+1,INDEX($M$15:OFFSET(M21,-1,0),MATCH($A21,$A$15:OFFSET($A21,-1,0),0)))))</f>
        <v>3</v>
      </c>
      <c r="N21" s="212" t="str">
        <f ca="1">IF($D21&lt;&gt;"Serviço","",IF(AUTOEVENTO="Manual",IF($A21=0,"&lt;-- defina o número do agrupador",OFFSET(EVENTOS!$D$14,$A21,0)),OFFSET($F$15,$A21,0)))</f>
        <v xml:space="preserve">TERRAPLANAGEM </v>
      </c>
      <c r="O21" s="213"/>
      <c r="Q21" s="213">
        <v>223.83</v>
      </c>
      <c r="R21" s="213">
        <v>1172.55</v>
      </c>
      <c r="S21" s="213">
        <v>790.71</v>
      </c>
      <c r="T21" s="213">
        <v>1787.97</v>
      </c>
      <c r="U21" s="213">
        <v>3296.67</v>
      </c>
      <c r="V21" s="213">
        <v>195.48</v>
      </c>
      <c r="W21" s="213">
        <v>202.65</v>
      </c>
      <c r="X21" s="213">
        <v>1776.57</v>
      </c>
      <c r="Y21" s="213">
        <v>673.71</v>
      </c>
      <c r="Z21" s="213">
        <v>1834.8</v>
      </c>
      <c r="AA21" s="213">
        <v>1209.1199999999999</v>
      </c>
      <c r="AB21" s="213">
        <v>143.19</v>
      </c>
      <c r="AC21" s="213"/>
      <c r="AD21" s="213"/>
      <c r="AE21" s="214"/>
      <c r="AF21" s="214"/>
      <c r="AG21" s="214"/>
      <c r="AH21" s="215"/>
      <c r="AJ21" s="630">
        <f ca="1">IF(AND($D21="Serviço",AJ$12&lt;&gt;0,$H21&gt;0,OR(AUTOEVENTO&lt;&gt;"manual",$M21&lt;&gt;1)),
IF(Import.TipoArredondamento&lt;&gt;"TransfereGOV",
ROUND(OFFSET($P21,0,AJ$13),15-13*ORÇAMENTO!$AF$7)/$H21*OFFSET(ORÇAMENTO!$X$15,ROW(AJ21)-ROW(AJ$15),0),
ROUND(ROUND(OFFSET($P21,0,AJ$13),15-13*ORÇAMENTO!$AF$7)*OFFSET(ORÇAMENTO!$W$15,ROW(AJ21)-ROW(AJ$15),0),15-13*ORÇAMENTO!$AF$11)),0)</f>
        <v>0</v>
      </c>
      <c r="AK21" s="631">
        <f ca="1">IF(AND($D21="Serviço",AK$12&lt;&gt;0,$H21&gt;0,OR(AUTOEVENTO&lt;&gt;"manual",$M21&lt;&gt;1)),
IF(Import.TipoArredondamento&lt;&gt;"TransfereGOV",
ROUND(OFFSET($P21,0,AK$13),15-13*ORÇAMENTO!$AF$7)/$H21*OFFSET(ORÇAMENTO!$X$15,ROW(AK21)-ROW(AK$15),0),
ROUND(ROUND(OFFSET($P21,0,AK$13),15-13*ORÇAMENTO!$AF$7)*OFFSET(ORÇAMENTO!$W$15,ROW(AK21)-ROW(AK$15),0),15-13*ORÇAMENTO!$AF$11)),0)</f>
        <v>0</v>
      </c>
      <c r="AL21" s="631">
        <f ca="1">IF(AND($D21="Serviço",AL$12&lt;&gt;0,$H21&gt;0,OR(AUTOEVENTO&lt;&gt;"manual",$M21&lt;&gt;1)),
IF(Import.TipoArredondamento&lt;&gt;"TransfereGOV",
ROUND(OFFSET($P21,0,AL$13),15-13*ORÇAMENTO!$AF$7)/$H21*OFFSET(ORÇAMENTO!$X$15,ROW(AL21)-ROW(AL$15),0),
ROUND(ROUND(OFFSET($P21,0,AL$13),15-13*ORÇAMENTO!$AF$7)*OFFSET(ORÇAMENTO!$W$15,ROW(AL21)-ROW(AL$15),0),15-13*ORÇAMENTO!$AF$11)),0)</f>
        <v>0</v>
      </c>
      <c r="AM21" s="631">
        <f ca="1">IF(AND($D21="Serviço",AM$12&lt;&gt;0,$H21&gt;0,OR(AUTOEVENTO&lt;&gt;"manual",$M21&lt;&gt;1)),
IF(Import.TipoArredondamento&lt;&gt;"TransfereGOV",
ROUND(OFFSET($P21,0,AM$13),15-13*ORÇAMENTO!$AF$7)/$H21*OFFSET(ORÇAMENTO!$X$15,ROW(AM21)-ROW(AM$15),0),
ROUND(ROUND(OFFSET($P21,0,AM$13),15-13*ORÇAMENTO!$AF$7)*OFFSET(ORÇAMENTO!$W$15,ROW(AM21)-ROW(AM$15),0),15-13*ORÇAMENTO!$AF$11)),0)</f>
        <v>0</v>
      </c>
      <c r="AN21" s="631">
        <f ca="1">IF(AND($D21="Serviço",AN$12&lt;&gt;0,$H21&gt;0,OR(AUTOEVENTO&lt;&gt;"manual",$M21&lt;&gt;1)),
IF(Import.TipoArredondamento&lt;&gt;"TransfereGOV",
ROUND(OFFSET($P21,0,AN$13),15-13*ORÇAMENTO!$AF$7)/$H21*OFFSET(ORÇAMENTO!$X$15,ROW(AN21)-ROW(AN$15),0),
ROUND(ROUND(OFFSET($P21,0,AN$13),15-13*ORÇAMENTO!$AF$7)*OFFSET(ORÇAMENTO!$W$15,ROW(AN21)-ROW(AN$15),0),15-13*ORÇAMENTO!$AF$11)),0)</f>
        <v>0</v>
      </c>
      <c r="AO21" s="631">
        <f ca="1">IF(AND($D21="Serviço",AO$12&lt;&gt;0,$H21&gt;0,OR(AUTOEVENTO&lt;&gt;"manual",$M21&lt;&gt;1)),
IF(Import.TipoArredondamento&lt;&gt;"TransfereGOV",
ROUND(OFFSET($P21,0,AO$13),15-13*ORÇAMENTO!$AF$7)/$H21*OFFSET(ORÇAMENTO!$X$15,ROW(AO21)-ROW(AO$15),0),
ROUND(ROUND(OFFSET($P21,0,AO$13),15-13*ORÇAMENTO!$AF$7)*OFFSET(ORÇAMENTO!$W$15,ROW(AO21)-ROW(AO$15),0),15-13*ORÇAMENTO!$AF$11)),0)</f>
        <v>0</v>
      </c>
      <c r="AP21" s="631">
        <f ca="1">IF(AND($D21="Serviço",AP$12&lt;&gt;0,$H21&gt;0,OR(AUTOEVENTO&lt;&gt;"manual",$M21&lt;&gt;1)),
IF(Import.TipoArredondamento&lt;&gt;"TransfereGOV",
ROUND(OFFSET($P21,0,AP$13),15-13*ORÇAMENTO!$AF$7)/$H21*OFFSET(ORÇAMENTO!$X$15,ROW(AP21)-ROW(AP$15),0),
ROUND(ROUND(OFFSET($P21,0,AP$13),15-13*ORÇAMENTO!$AF$7)*OFFSET(ORÇAMENTO!$W$15,ROW(AP21)-ROW(AP$15),0),15-13*ORÇAMENTO!$AF$11)),0)</f>
        <v>0</v>
      </c>
      <c r="AQ21" s="631">
        <f ca="1">IF(AND($D21="Serviço",AQ$12&lt;&gt;0,$H21&gt;0,OR(AUTOEVENTO&lt;&gt;"manual",$M21&lt;&gt;1)),
IF(Import.TipoArredondamento&lt;&gt;"TransfereGOV",
ROUND(OFFSET($P21,0,AQ$13),15-13*ORÇAMENTO!$AF$7)/$H21*OFFSET(ORÇAMENTO!$X$15,ROW(AQ21)-ROW(AQ$15),0),
ROUND(ROUND(OFFSET($P21,0,AQ$13),15-13*ORÇAMENTO!$AF$7)*OFFSET(ORÇAMENTO!$W$15,ROW(AQ21)-ROW(AQ$15),0),15-13*ORÇAMENTO!$AF$11)),0)</f>
        <v>0</v>
      </c>
      <c r="AR21" s="631">
        <f ca="1">IF(AND($D21="Serviço",AR$12&lt;&gt;0,$H21&gt;0,OR(AUTOEVENTO&lt;&gt;"manual",$M21&lt;&gt;1)),
IF(Import.TipoArredondamento&lt;&gt;"TransfereGOV",
ROUND(OFFSET($P21,0,AR$13),15-13*ORÇAMENTO!$AF$7)/$H21*OFFSET(ORÇAMENTO!$X$15,ROW(AR21)-ROW(AR$15),0),
ROUND(ROUND(OFFSET($P21,0,AR$13),15-13*ORÇAMENTO!$AF$7)*OFFSET(ORÇAMENTO!$W$15,ROW(AR21)-ROW(AR$15),0),15-13*ORÇAMENTO!$AF$11)),0)</f>
        <v>0</v>
      </c>
      <c r="AS21" s="632">
        <f ca="1">IF(AND($D21="Serviço",AS$12&lt;&gt;0,$H21&gt;0,OR(AUTOEVENTO&lt;&gt;"manual",$M21&lt;&gt;1)),
IF(Import.TipoArredondamento&lt;&gt;"TransfereGOV",
ROUND(OFFSET($P21,0,AS$13),15-13*ORÇAMENTO!$AF$7)/$H21*OFFSET(ORÇAMENTO!$X$15,ROW(AS21)-ROW(AS$15),0),
ROUND(ROUND(OFFSET($P21,0,AS$13),15-13*ORÇAMENTO!$AF$7)*OFFSET(ORÇAMENTO!$W$15,ROW(AS21)-ROW(AS$15),0),15-13*ORÇAMENTO!$AF$11)),0)</f>
        <v>0</v>
      </c>
      <c r="AT21" s="631">
        <f ca="1">IF(AND($D21="Serviço",AT$12&lt;&gt;0,$H21&gt;0,OR(AUTOEVENTO&lt;&gt;"manual",$M21&lt;&gt;1)),
IF(Import.TipoArredondamento&lt;&gt;"TransfereGOV",
ROUND(OFFSET($P21,0,AT$13),15-13*ORÇAMENTO!$AF$7)/$H21*OFFSET(ORÇAMENTO!$X$15,ROW(AT21)-ROW(AT$15),0),
ROUND(ROUND(OFFSET($P21,0,AT$13),15-13*ORÇAMENTO!$AF$7)*OFFSET(ORÇAMENTO!$W$15,ROW(AT21)-ROW(AT$15),0),15-13*ORÇAMENTO!$AF$11)),0)</f>
        <v>0</v>
      </c>
      <c r="AU21" s="631">
        <f ca="1">IF(AND($D21="Serviço",AU$12&lt;&gt;0,$H21&gt;0,OR(AUTOEVENTO&lt;&gt;"manual",$M21&lt;&gt;1)),
IF(Import.TipoArredondamento&lt;&gt;"TransfereGOV",
ROUND(OFFSET($P21,0,AU$13),15-13*ORÇAMENTO!$AF$7)/$H21*OFFSET(ORÇAMENTO!$X$15,ROW(AU21)-ROW(AU$15),0),
ROUND(ROUND(OFFSET($P21,0,AU$13),15-13*ORÇAMENTO!$AF$7)*OFFSET(ORÇAMENTO!$W$15,ROW(AU21)-ROW(AU$15),0),15-13*ORÇAMENTO!$AF$11)),0)</f>
        <v>0</v>
      </c>
      <c r="AV21" s="631">
        <f ca="1">IF(AND($D21="Serviço",AV$12&lt;&gt;0,$H21&gt;0,OR(AUTOEVENTO&lt;&gt;"manual",$M21&lt;&gt;1)),
IF(Import.TipoArredondamento&lt;&gt;"TransfereGOV",
ROUND(OFFSET($P21,0,AV$13),15-13*ORÇAMENTO!$AF$7)/$H21*OFFSET(ORÇAMENTO!$X$15,ROW(AV21)-ROW(AV$15),0),
ROUND(ROUND(OFFSET($P21,0,AV$13),15-13*ORÇAMENTO!$AF$7)*OFFSET(ORÇAMENTO!$W$15,ROW(AV21)-ROW(AV$15),0),15-13*ORÇAMENTO!$AF$11)),0)</f>
        <v>0</v>
      </c>
      <c r="AW21" s="631">
        <f ca="1">IF(AND($D21="Serviço",AW$12&lt;&gt;0,$H21&gt;0,OR(AUTOEVENTO&lt;&gt;"manual",$M21&lt;&gt;1)),
IF(Import.TipoArredondamento&lt;&gt;"TransfereGOV",
ROUND(OFFSET($P21,0,AW$13),15-13*ORÇAMENTO!$AF$7)/$H21*OFFSET(ORÇAMENTO!$X$15,ROW(AW21)-ROW(AW$15),0),
ROUND(ROUND(OFFSET($P21,0,AW$13),15-13*ORÇAMENTO!$AF$7)*OFFSET(ORÇAMENTO!$W$15,ROW(AW21)-ROW(AW$15),0),15-13*ORÇAMENTO!$AF$11)),0)</f>
        <v>0</v>
      </c>
      <c r="AX21" s="631">
        <f ca="1">IF(AND($D21="Serviço",AX$12&lt;&gt;0,$H21&gt;0,OR(AUTOEVENTO&lt;&gt;"manual",$M21&lt;&gt;1)),
IF(Import.TipoArredondamento&lt;&gt;"TransfereGOV",
ROUND(OFFSET($P21,0,AX$13),15-13*ORÇAMENTO!$AF$7)/$H21*OFFSET(ORÇAMENTO!$X$15,ROW(AX21)-ROW(AX$15),0),
ROUND(ROUND(OFFSET($P21,0,AX$13),15-13*ORÇAMENTO!$AF$7)*OFFSET(ORÇAMENTO!$W$15,ROW(AX21)-ROW(AX$15),0),15-13*ORÇAMENTO!$AF$11)),0)</f>
        <v>0</v>
      </c>
      <c r="AY21" s="631">
        <f ca="1">IF(AND($D21="Serviço",AY$12&lt;&gt;0,$H21&gt;0,OR(AUTOEVENTO&lt;&gt;"manual",$M21&lt;&gt;1)),
IF(Import.TipoArredondamento&lt;&gt;"TransfereGOV",
ROUND(OFFSET($P21,0,AY$13),15-13*ORÇAMENTO!$AF$7)/$H21*OFFSET(ORÇAMENTO!$X$15,ROW(AY21)-ROW(AY$15),0),
ROUND(ROUND(OFFSET($P21,0,AY$13),15-13*ORÇAMENTO!$AF$7)*OFFSET(ORÇAMENTO!$W$15,ROW(AY21)-ROW(AY$15),0),15-13*ORÇAMENTO!$AF$11)),0)</f>
        <v>0</v>
      </c>
      <c r="AZ21" s="631">
        <f ca="1">IF(AND($D21="Serviço",AZ$12&lt;&gt;0,$H21&gt;0,OR(AUTOEVENTO&lt;&gt;"manual",$M21&lt;&gt;1)),
IF(Import.TipoArredondamento&lt;&gt;"TransfereGOV",
ROUND(OFFSET($P21,0,AZ$13),15-13*ORÇAMENTO!$AF$7)/$H21*OFFSET(ORÇAMENTO!$X$15,ROW(AZ21)-ROW(AZ$15),0),
ROUND(ROUND(OFFSET($P21,0,AZ$13),15-13*ORÇAMENTO!$AF$7)*OFFSET(ORÇAMENTO!$W$15,ROW(AZ21)-ROW(AZ$15),0),15-13*ORÇAMENTO!$AF$11)),0)</f>
        <v>0</v>
      </c>
      <c r="BA21" s="632">
        <f ca="1">IF(AND($D21="Serviço",BA$12&lt;&gt;0,$H21&gt;0,OR(AUTOEVENTO&lt;&gt;"manual",$M21&lt;&gt;1)),
IF(Import.TipoArredondamento&lt;&gt;"TransfereGOV",
ROUND(OFFSET($P21,0,BA$13),15-13*ORÇAMENTO!$AF$7)/$H21*OFFSET(ORÇAMENTO!$X$15,ROW(BA21)-ROW(BA$15),0),
ROUND(ROUND(OFFSET($P21,0,BA$13),15-13*ORÇAMENTO!$AF$7)*OFFSET(ORÇAMENTO!$W$15,ROW(BA21)-ROW(BA$15),0),15-13*ORÇAMENTO!$AF$11)),0)</f>
        <v>0</v>
      </c>
      <c r="BC21" s="216">
        <f ca="1">IF($D21&lt;&gt;"Serviço",0,IF(AND(AUTOEVENTO="Manual",$M21=1),0,IF(OFFSET(CRONOPLE!$F$14,$M21,BC$13)="",10^12,OFFSET(CRONOPLE!$F$14,$M21,BC$13))))</f>
        <v>1</v>
      </c>
      <c r="BD21" s="216">
        <f ca="1">IF($D21&lt;&gt;"Serviço",0,IF(AND(AUTOEVENTO="Manual",$M21=1),0,IF(OFFSET(CRONOPLE!$F$14,$M21,BD$13)="",10^12,OFFSET(CRONOPLE!$F$14,$M21,BD$13))))</f>
        <v>1</v>
      </c>
      <c r="BE21" s="216">
        <f ca="1">IF($D21&lt;&gt;"Serviço",0,IF(AND(AUTOEVENTO="Manual",$M21=1),0,IF(OFFSET(CRONOPLE!$F$14,$M21,BE$13)="",10^12,OFFSET(CRONOPLE!$F$14,$M21,BE$13))))</f>
        <v>2</v>
      </c>
      <c r="BF21" s="216">
        <f ca="1">IF($D21&lt;&gt;"Serviço",0,IF(AND(AUTOEVENTO="Manual",$M21=1),0,IF(OFFSET(CRONOPLE!$F$14,$M21,BF$13)="",10^12,OFFSET(CRONOPLE!$F$14,$M21,BF$13))))</f>
        <v>2</v>
      </c>
      <c r="BG21" s="216">
        <f ca="1">IF($D21&lt;&gt;"Serviço",0,IF(AND(AUTOEVENTO="Manual",$M21=1),0,IF(OFFSET(CRONOPLE!$F$14,$M21,BG$13)="",10^12,OFFSET(CRONOPLE!$F$14,$M21,BG$13))))</f>
        <v>3</v>
      </c>
      <c r="BH21" s="216">
        <f ca="1">IF($D21&lt;&gt;"Serviço",0,IF(AND(AUTOEVENTO="Manual",$M21=1),0,IF(OFFSET(CRONOPLE!$F$14,$M21,BH$13)="",10^12,OFFSET(CRONOPLE!$F$14,$M21,BH$13))))</f>
        <v>4</v>
      </c>
      <c r="BI21" s="216">
        <f ca="1">IF($D21&lt;&gt;"Serviço",0,IF(AND(AUTOEVENTO="Manual",$M21=1),0,IF(OFFSET(CRONOPLE!$F$14,$M21,BI$13)="",10^12,OFFSET(CRONOPLE!$F$14,$M21,BI$13))))</f>
        <v>4</v>
      </c>
      <c r="BJ21" s="216">
        <f ca="1">IF($D21&lt;&gt;"Serviço",0,IF(AND(AUTOEVENTO="Manual",$M21=1),0,IF(OFFSET(CRONOPLE!$F$14,$M21,BJ$13)="",10^12,OFFSET(CRONOPLE!$F$14,$M21,BJ$13))))</f>
        <v>4</v>
      </c>
      <c r="BK21" s="216">
        <f ca="1">IF($D21&lt;&gt;"Serviço",0,IF(AND(AUTOEVENTO="Manual",$M21=1),0,IF(OFFSET(CRONOPLE!$F$14,$M21,BK$13)="",10^12,OFFSET(CRONOPLE!$F$14,$M21,BK$13))))</f>
        <v>5</v>
      </c>
      <c r="BL21" s="216">
        <f ca="1">IF($D21&lt;&gt;"Serviço",0,IF(AND(AUTOEVENTO="Manual",$M21=1),0,IF(OFFSET(CRONOPLE!$F$14,$M21,BL$13)="",10^12,OFFSET(CRONOPLE!$F$14,$M21,BL$13))))</f>
        <v>5</v>
      </c>
      <c r="BM21" s="216">
        <f ca="1">IF($D21&lt;&gt;"Serviço",0,IF(AND(AUTOEVENTO="Manual",$M21=1),0,IF(OFFSET(CRONOPLE!$F$14,$M21,BM$13)="",10^12,OFFSET(CRONOPLE!$F$14,$M21,BM$13))))</f>
        <v>6</v>
      </c>
      <c r="BN21" s="216">
        <f ca="1">IF($D21&lt;&gt;"Serviço",0,IF(AND(AUTOEVENTO="Manual",$M21=1),0,IF(OFFSET(CRONOPLE!$F$14,$M21,BN$13)="",10^12,OFFSET(CRONOPLE!$F$14,$M21,BN$13))))</f>
        <v>6</v>
      </c>
      <c r="BO21" s="216">
        <f ca="1">IF($D21&lt;&gt;"Serviço",0,IF(AND(AUTOEVENTO="Manual",$M21=1),0,IF(OFFSET(CRONOPLE!$F$14,$M21,BO$13)="",10^12,OFFSET(CRONOPLE!$F$14,$M21,BO$13))))</f>
        <v>6</v>
      </c>
      <c r="BP21" s="216">
        <f ca="1">IF($D21&lt;&gt;"Serviço",0,IF(AND(AUTOEVENTO="Manual",$M21=1),0,IF(OFFSET(CRONOPLE!$F$14,$M21,BP$13)="",10^12,OFFSET(CRONOPLE!$F$14,$M21,BP$13))))</f>
        <v>1000000000000</v>
      </c>
      <c r="BQ21" s="216">
        <f ca="1">IF($D21&lt;&gt;"Serviço",0,IF(AND(AUTOEVENTO="Manual",$M21=1),0,IF(OFFSET(CRONOPLE!$F$14,$M21,BQ$13)="",10^12,OFFSET(CRONOPLE!$F$14,$M21,BQ$13))))</f>
        <v>1000000000000</v>
      </c>
      <c r="BR21" s="216">
        <f ca="1">IF($D21&lt;&gt;"Serviço",0,IF(AND(AUTOEVENTO="Manual",$M21=1),0,IF(OFFSET(CRONOPLE!$F$14,$M21,BR$13)="",10^12,OFFSET(CRONOPLE!$F$14,$M21,BR$13))))</f>
        <v>1000000000000</v>
      </c>
      <c r="BS21" s="216">
        <f ca="1">IF($D21&lt;&gt;"Serviço",0,IF(AND(AUTOEVENTO="Manual",$M21=1),0,IF(OFFSET(CRONOPLE!$F$14,$M21,BS$13)="",10^12,OFFSET(CRONOPLE!$F$14,$M21,BS$13))))</f>
        <v>1000000000000</v>
      </c>
      <c r="BT21" s="216">
        <f ca="1">IF($D21&lt;&gt;"Serviço",0,IF(AND(AUTOEVENTO="Manual",$M21=1),0,IF(OFFSET(CRONOPLE!$F$14,$M21,BT$13)="",10^12,OFFSET(CRONOPLE!$F$14,$M21,BT$13))))</f>
        <v>1000000000000</v>
      </c>
      <c r="BV21" s="217">
        <f ca="1">IF($D21&lt;&gt;"Serviço",0,IF(OR(AND(AUTOEVENTO="Manual",$M21=1),$M21&gt;(ROW(PLE.lastrow)-ROW(PLE.firstrow))),0,IF(OFFSET(PLE!$G$14,$M21,BV$13)="",10^12,OFFSET(PLE!$G$14,$M21,BV$13))))</f>
        <v>1000000000000</v>
      </c>
      <c r="BW21" s="217">
        <f ca="1">IF($D21&lt;&gt;"Serviço",0,IF(OR(AND(AUTOEVENTO="Manual",$M21=1),$M21&gt;(ROW(PLE.lastrow)-ROW(PLE.firstrow))),0,IF(OFFSET(PLE!$G$14,$M21,BW$13)="",10^12,OFFSET(PLE!$G$14,$M21,BW$13))))</f>
        <v>1000000000000</v>
      </c>
      <c r="BX21" s="217">
        <f ca="1">IF($D21&lt;&gt;"Serviço",0,IF(OR(AND(AUTOEVENTO="Manual",$M21=1),$M21&gt;(ROW(PLE.lastrow)-ROW(PLE.firstrow))),0,IF(OFFSET(PLE!$G$14,$M21,BX$13)="",10^12,OFFSET(PLE!$G$14,$M21,BX$13))))</f>
        <v>1000000000000</v>
      </c>
      <c r="BY21" s="217">
        <f ca="1">IF($D21&lt;&gt;"Serviço",0,IF(OR(AND(AUTOEVENTO="Manual",$M21=1),$M21&gt;(ROW(PLE.lastrow)-ROW(PLE.firstrow))),0,IF(OFFSET(PLE!$G$14,$M21,BY$13)="",10^12,OFFSET(PLE!$G$14,$M21,BY$13))))</f>
        <v>1000000000000</v>
      </c>
      <c r="BZ21" s="217">
        <f ca="1">IF($D21&lt;&gt;"Serviço",0,IF(OR(AND(AUTOEVENTO="Manual",$M21=1),$M21&gt;(ROW(PLE.lastrow)-ROW(PLE.firstrow))),0,IF(OFFSET(PLE!$G$14,$M21,BZ$13)="",10^12,OFFSET(PLE!$G$14,$M21,BZ$13))))</f>
        <v>1000000000000</v>
      </c>
      <c r="CA21" s="217">
        <f ca="1">IF($D21&lt;&gt;"Serviço",0,IF(OR(AND(AUTOEVENTO="Manual",$M21=1),$M21&gt;(ROW(PLE.lastrow)-ROW(PLE.firstrow))),0,IF(OFFSET(PLE!$G$14,$M21,CA$13)="",10^12,OFFSET(PLE!$G$14,$M21,CA$13))))</f>
        <v>1000000000000</v>
      </c>
      <c r="CB21" s="217">
        <f ca="1">IF($D21&lt;&gt;"Serviço",0,IF(OR(AND(AUTOEVENTO="Manual",$M21=1),$M21&gt;(ROW(PLE.lastrow)-ROW(PLE.firstrow))),0,IF(OFFSET(PLE!$G$14,$M21,CB$13)="",10^12,OFFSET(PLE!$G$14,$M21,CB$13))))</f>
        <v>1000000000000</v>
      </c>
      <c r="CC21" s="217">
        <f ca="1">IF($D21&lt;&gt;"Serviço",0,IF(OR(AND(AUTOEVENTO="Manual",$M21=1),$M21&gt;(ROW(PLE.lastrow)-ROW(PLE.firstrow))),0,IF(OFFSET(PLE!$G$14,$M21,CC$13)="",10^12,OFFSET(PLE!$G$14,$M21,CC$13))))</f>
        <v>1000000000000</v>
      </c>
      <c r="CD21" s="217">
        <f ca="1">IF($D21&lt;&gt;"Serviço",0,IF(OR(AND(AUTOEVENTO="Manual",$M21=1),$M21&gt;(ROW(PLE.lastrow)-ROW(PLE.firstrow))),0,IF(OFFSET(PLE!$G$14,$M21,CD$13)="",10^12,OFFSET(PLE!$G$14,$M21,CD$13))))</f>
        <v>1000000000000</v>
      </c>
      <c r="CE21" s="217">
        <f ca="1">IF($D21&lt;&gt;"Serviço",0,IF(OR(AND(AUTOEVENTO="Manual",$M21=1),$M21&gt;(ROW(PLE.lastrow)-ROW(PLE.firstrow))),0,IF(OFFSET(PLE!$G$14,$M21,CE$13)="",10^12,OFFSET(PLE!$G$14,$M21,CE$13))))</f>
        <v>1000000000000</v>
      </c>
      <c r="CF21" s="217">
        <f ca="1">IF($D21&lt;&gt;"Serviço",0,IF(OR(AND(AUTOEVENTO="Manual",$M21=1),$M21&gt;(ROW(PLE.lastrow)-ROW(PLE.firstrow))),0,IF(OFFSET(PLE!$G$14,$M21,CF$13)="",10^12,OFFSET(PLE!$G$14,$M21,CF$13))))</f>
        <v>1000000000000</v>
      </c>
      <c r="CG21" s="217">
        <f ca="1">IF($D21&lt;&gt;"Serviço",0,IF(OR(AND(AUTOEVENTO="Manual",$M21=1),$M21&gt;(ROW(PLE.lastrow)-ROW(PLE.firstrow))),0,IF(OFFSET(PLE!$G$14,$M21,CG$13)="",10^12,OFFSET(PLE!$G$14,$M21,CG$13))))</f>
        <v>1000000000000</v>
      </c>
      <c r="CH21" s="217">
        <f ca="1">IF($D21&lt;&gt;"Serviço",0,IF(OR(AND(AUTOEVENTO="Manual",$M21=1),$M21&gt;(ROW(PLE.lastrow)-ROW(PLE.firstrow))),0,IF(OFFSET(PLE!$G$14,$M21,CH$13)="",10^12,OFFSET(PLE!$G$14,$M21,CH$13))))</f>
        <v>1000000000000</v>
      </c>
      <c r="CI21" s="217">
        <f ca="1">IF($D21&lt;&gt;"Serviço",0,IF(OR(AND(AUTOEVENTO="Manual",$M21=1),$M21&gt;(ROW(PLE.lastrow)-ROW(PLE.firstrow))),0,IF(OFFSET(PLE!$G$14,$M21,CI$13)="",10^12,OFFSET(PLE!$G$14,$M21,CI$13))))</f>
        <v>1000000000000</v>
      </c>
      <c r="CJ21" s="217">
        <f ca="1">IF($D21&lt;&gt;"Serviço",0,IF(OR(AND(AUTOEVENTO="Manual",$M21=1),$M21&gt;(ROW(PLE.lastrow)-ROW(PLE.firstrow))),0,IF(OFFSET(PLE!$G$14,$M21,CJ$13)="",10^12,OFFSET(PLE!$G$14,$M21,CJ$13))))</f>
        <v>1000000000000</v>
      </c>
      <c r="CK21" s="217">
        <f ca="1">IF($D21&lt;&gt;"Serviço",0,IF(OR(AND(AUTOEVENTO="Manual",$M21=1),$M21&gt;(ROW(PLE.lastrow)-ROW(PLE.firstrow))),0,IF(OFFSET(PLE!$G$14,$M21,CK$13)="",10^12,OFFSET(PLE!$G$14,$M21,CK$13))))</f>
        <v>1000000000000</v>
      </c>
      <c r="CL21" s="217">
        <f ca="1">IF($D21&lt;&gt;"Serviço",0,IF(OR(AND(AUTOEVENTO="Manual",$M21=1),$M21&gt;(ROW(PLE.lastrow)-ROW(PLE.firstrow))),0,IF(OFFSET(PLE!$G$14,$M21,CL$13)="",10^12,OFFSET(PLE!$G$14,$M21,CL$13))))</f>
        <v>1000000000000</v>
      </c>
      <c r="CM21" s="217">
        <f ca="1">IF($D21&lt;&gt;"Serviço",0,IF(OR(AND(AUTOEVENTO="Manual",$M21=1),$M21&gt;(ROW(PLE.lastrow)-ROW(PLE.firstrow))),0,IF(OFFSET(PLE!$G$14,$M21,CM$13)="",10^12,OFFSET(PLE!$G$14,$M21,CM$13))))</f>
        <v>1000000000000</v>
      </c>
    </row>
    <row r="22" spans="1:91" ht="25.5" x14ac:dyDescent="0.2">
      <c r="A22" s="9" t="str">
        <f t="shared" ca="1" si="9"/>
        <v>5</v>
      </c>
      <c r="B22" s="9" t="str">
        <f ca="1">OFFSET(ORÇAMENTO!C$15,ROW(B22)-ROW(B$15),0)</f>
        <v>S</v>
      </c>
      <c r="C22" s="9" t="str">
        <f ca="1">OFFSET(ORÇAMENTO!L$15,ROW(C22)-ROW(C$15),0)</f>
        <v/>
      </c>
      <c r="D22" s="146" t="str">
        <f ca="1">OFFSET(ORÇAMENTO!N$15,ROW(D22)-ROW(D$15),0)</f>
        <v>Serviço</v>
      </c>
      <c r="E22" s="206" t="str">
        <f ca="1">OFFSET(ORÇAMENTO!O$15,ROW(E22)-ROW(E$15),0)</f>
        <v>-</v>
      </c>
      <c r="F22" s="207" t="str">
        <f ca="1">OFFSET(ORÇAMENTO!R$15,ROW(F22)-ROW(F$15),0)</f>
        <v>(abra o arquivo 'Referência 12-2023.xlsm)</v>
      </c>
      <c r="G22" s="208" t="str">
        <f ca="1">IF($D22&lt;&gt;"Serviço","",OFFSET(ORÇAMENTO!S$15,ROW(G22)-ROW(G$15),0))</f>
        <v>-</v>
      </c>
      <c r="H22" s="152">
        <f ca="1">IF($D22&lt;&gt;"Serviço",0,IF(ACOMPANHAMENTO="BM",ROUND(OFFSET(ORÇAMENTO!AJ$15,ROW(H22)-ROW(H$15),0),15-13*ORÇAMENTO!$AF$7),SUMPRODUCT(($Q$12:$AI$12&lt;&gt;"")*ROUND($Q22:$AI22,15-13*ORÇAMENTO!$AF$7))))</f>
        <v>9467.74</v>
      </c>
      <c r="I22" s="649" t="s">
        <v>504</v>
      </c>
      <c r="K22" s="209"/>
      <c r="L22" s="210" t="s">
        <v>255</v>
      </c>
      <c r="M22" s="211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212" t="str">
        <f ca="1">IF($D22&lt;&gt;"Serviço","",IF(AUTOEVENTO="Manual",IF($A22=0,"&lt;-- defina o número do agrupador",OFFSET(EVENTOS!$D$14,$A22,0)),OFFSET($F$15,$A22,0)))</f>
        <v xml:space="preserve">TERRAPLANAGEM </v>
      </c>
      <c r="O22" s="213"/>
      <c r="Q22" s="213">
        <v>154.44</v>
      </c>
      <c r="R22" s="214">
        <v>809.06</v>
      </c>
      <c r="S22" s="214">
        <v>545.59</v>
      </c>
      <c r="T22" s="214">
        <v>1233.7</v>
      </c>
      <c r="U22" s="214">
        <v>2439.54</v>
      </c>
      <c r="V22" s="214">
        <v>134.88</v>
      </c>
      <c r="W22" s="214">
        <v>139.83000000000001</v>
      </c>
      <c r="X22" s="214">
        <v>1225.83</v>
      </c>
      <c r="Y22" s="215">
        <v>464.86</v>
      </c>
      <c r="Z22" s="214">
        <v>1266.01</v>
      </c>
      <c r="AA22" s="214">
        <v>955.2</v>
      </c>
      <c r="AB22" s="214">
        <v>98.8</v>
      </c>
      <c r="AC22" s="214"/>
      <c r="AD22" s="214"/>
      <c r="AE22" s="214"/>
      <c r="AF22" s="214"/>
      <c r="AG22" s="214"/>
      <c r="AH22" s="215"/>
      <c r="AJ22" s="630">
        <f ca="1">IF(AND($D22="Serviço",AJ$12&lt;&gt;0,$H22&gt;0,OR(AUTOEVENTO&lt;&gt;"manual",$M22&lt;&gt;1)),
IF(Import.TipoArredondamento&lt;&gt;"TransfereGOV",
ROUND(OFFSET($P22,0,AJ$13),15-13*ORÇAMENTO!$AF$7)/$H22*OFFSET(ORÇAMENTO!$X$15,ROW(AJ22)-ROW(AJ$15),0),
ROUND(ROUND(OFFSET($P22,0,AJ$13),15-13*ORÇAMENTO!$AF$7)*OFFSET(ORÇAMENTO!$W$15,ROW(AJ22)-ROW(AJ$15),0),15-13*ORÇAMENTO!$AF$11)),0)</f>
        <v>0</v>
      </c>
      <c r="AK22" s="631">
        <f ca="1">IF(AND($D22="Serviço",AK$12&lt;&gt;0,$H22&gt;0,OR(AUTOEVENTO&lt;&gt;"manual",$M22&lt;&gt;1)),
IF(Import.TipoArredondamento&lt;&gt;"TransfereGOV",
ROUND(OFFSET($P22,0,AK$13),15-13*ORÇAMENTO!$AF$7)/$H22*OFFSET(ORÇAMENTO!$X$15,ROW(AK22)-ROW(AK$15),0),
ROUND(ROUND(OFFSET($P22,0,AK$13),15-13*ORÇAMENTO!$AF$7)*OFFSET(ORÇAMENTO!$W$15,ROW(AK22)-ROW(AK$15),0),15-13*ORÇAMENTO!$AF$11)),0)</f>
        <v>0</v>
      </c>
      <c r="AL22" s="631">
        <f ca="1">IF(AND($D22="Serviço",AL$12&lt;&gt;0,$H22&gt;0,OR(AUTOEVENTO&lt;&gt;"manual",$M22&lt;&gt;1)),
IF(Import.TipoArredondamento&lt;&gt;"TransfereGOV",
ROUND(OFFSET($P22,0,AL$13),15-13*ORÇAMENTO!$AF$7)/$H22*OFFSET(ORÇAMENTO!$X$15,ROW(AL22)-ROW(AL$15),0),
ROUND(ROUND(OFFSET($P22,0,AL$13),15-13*ORÇAMENTO!$AF$7)*OFFSET(ORÇAMENTO!$W$15,ROW(AL22)-ROW(AL$15),0),15-13*ORÇAMENTO!$AF$11)),0)</f>
        <v>0</v>
      </c>
      <c r="AM22" s="631">
        <f ca="1">IF(AND($D22="Serviço",AM$12&lt;&gt;0,$H22&gt;0,OR(AUTOEVENTO&lt;&gt;"manual",$M22&lt;&gt;1)),
IF(Import.TipoArredondamento&lt;&gt;"TransfereGOV",
ROUND(OFFSET($P22,0,AM$13),15-13*ORÇAMENTO!$AF$7)/$H22*OFFSET(ORÇAMENTO!$X$15,ROW(AM22)-ROW(AM$15),0),
ROUND(ROUND(OFFSET($P22,0,AM$13),15-13*ORÇAMENTO!$AF$7)*OFFSET(ORÇAMENTO!$W$15,ROW(AM22)-ROW(AM$15),0),15-13*ORÇAMENTO!$AF$11)),0)</f>
        <v>0</v>
      </c>
      <c r="AN22" s="631">
        <f ca="1">IF(AND($D22="Serviço",AN$12&lt;&gt;0,$H22&gt;0,OR(AUTOEVENTO&lt;&gt;"manual",$M22&lt;&gt;1)),
IF(Import.TipoArredondamento&lt;&gt;"TransfereGOV",
ROUND(OFFSET($P22,0,AN$13),15-13*ORÇAMENTO!$AF$7)/$H22*OFFSET(ORÇAMENTO!$X$15,ROW(AN22)-ROW(AN$15),0),
ROUND(ROUND(OFFSET($P22,0,AN$13),15-13*ORÇAMENTO!$AF$7)*OFFSET(ORÇAMENTO!$W$15,ROW(AN22)-ROW(AN$15),0),15-13*ORÇAMENTO!$AF$11)),0)</f>
        <v>0</v>
      </c>
      <c r="AO22" s="631">
        <f ca="1">IF(AND($D22="Serviço",AO$12&lt;&gt;0,$H22&gt;0,OR(AUTOEVENTO&lt;&gt;"manual",$M22&lt;&gt;1)),
IF(Import.TipoArredondamento&lt;&gt;"TransfereGOV",
ROUND(OFFSET($P22,0,AO$13),15-13*ORÇAMENTO!$AF$7)/$H22*OFFSET(ORÇAMENTO!$X$15,ROW(AO22)-ROW(AO$15),0),
ROUND(ROUND(OFFSET($P22,0,AO$13),15-13*ORÇAMENTO!$AF$7)*OFFSET(ORÇAMENTO!$W$15,ROW(AO22)-ROW(AO$15),0),15-13*ORÇAMENTO!$AF$11)),0)</f>
        <v>0</v>
      </c>
      <c r="AP22" s="631">
        <f ca="1">IF(AND($D22="Serviço",AP$12&lt;&gt;0,$H22&gt;0,OR(AUTOEVENTO&lt;&gt;"manual",$M22&lt;&gt;1)),
IF(Import.TipoArredondamento&lt;&gt;"TransfereGOV",
ROUND(OFFSET($P22,0,AP$13),15-13*ORÇAMENTO!$AF$7)/$H22*OFFSET(ORÇAMENTO!$X$15,ROW(AP22)-ROW(AP$15),0),
ROUND(ROUND(OFFSET($P22,0,AP$13),15-13*ORÇAMENTO!$AF$7)*OFFSET(ORÇAMENTO!$W$15,ROW(AP22)-ROW(AP$15),0),15-13*ORÇAMENTO!$AF$11)),0)</f>
        <v>0</v>
      </c>
      <c r="AQ22" s="631">
        <f ca="1">IF(AND($D22="Serviço",AQ$12&lt;&gt;0,$H22&gt;0,OR(AUTOEVENTO&lt;&gt;"manual",$M22&lt;&gt;1)),
IF(Import.TipoArredondamento&lt;&gt;"TransfereGOV",
ROUND(OFFSET($P22,0,AQ$13),15-13*ORÇAMENTO!$AF$7)/$H22*OFFSET(ORÇAMENTO!$X$15,ROW(AQ22)-ROW(AQ$15),0),
ROUND(ROUND(OFFSET($P22,0,AQ$13),15-13*ORÇAMENTO!$AF$7)*OFFSET(ORÇAMENTO!$W$15,ROW(AQ22)-ROW(AQ$15),0),15-13*ORÇAMENTO!$AF$11)),0)</f>
        <v>0</v>
      </c>
      <c r="AR22" s="631">
        <f ca="1">IF(AND($D22="Serviço",AR$12&lt;&gt;0,$H22&gt;0,OR(AUTOEVENTO&lt;&gt;"manual",$M22&lt;&gt;1)),
IF(Import.TipoArredondamento&lt;&gt;"TransfereGOV",
ROUND(OFFSET($P22,0,AR$13),15-13*ORÇAMENTO!$AF$7)/$H22*OFFSET(ORÇAMENTO!$X$15,ROW(AR22)-ROW(AR$15),0),
ROUND(ROUND(OFFSET($P22,0,AR$13),15-13*ORÇAMENTO!$AF$7)*OFFSET(ORÇAMENTO!$W$15,ROW(AR22)-ROW(AR$15),0),15-13*ORÇAMENTO!$AF$11)),0)</f>
        <v>0</v>
      </c>
      <c r="AS22" s="632">
        <f ca="1">IF(AND($D22="Serviço",AS$12&lt;&gt;0,$H22&gt;0,OR(AUTOEVENTO&lt;&gt;"manual",$M22&lt;&gt;1)),
IF(Import.TipoArredondamento&lt;&gt;"TransfereGOV",
ROUND(OFFSET($P22,0,AS$13),15-13*ORÇAMENTO!$AF$7)/$H22*OFFSET(ORÇAMENTO!$X$15,ROW(AS22)-ROW(AS$15),0),
ROUND(ROUND(OFFSET($P22,0,AS$13),15-13*ORÇAMENTO!$AF$7)*OFFSET(ORÇAMENTO!$W$15,ROW(AS22)-ROW(AS$15),0),15-13*ORÇAMENTO!$AF$11)),0)</f>
        <v>0</v>
      </c>
      <c r="AT22" s="631">
        <f ca="1">IF(AND($D22="Serviço",AT$12&lt;&gt;0,$H22&gt;0,OR(AUTOEVENTO&lt;&gt;"manual",$M22&lt;&gt;1)),
IF(Import.TipoArredondamento&lt;&gt;"TransfereGOV",
ROUND(OFFSET($P22,0,AT$13),15-13*ORÇAMENTO!$AF$7)/$H22*OFFSET(ORÇAMENTO!$X$15,ROW(AT22)-ROW(AT$15),0),
ROUND(ROUND(OFFSET($P22,0,AT$13),15-13*ORÇAMENTO!$AF$7)*OFFSET(ORÇAMENTO!$W$15,ROW(AT22)-ROW(AT$15),0),15-13*ORÇAMENTO!$AF$11)),0)</f>
        <v>0</v>
      </c>
      <c r="AU22" s="631">
        <f ca="1">IF(AND($D22="Serviço",AU$12&lt;&gt;0,$H22&gt;0,OR(AUTOEVENTO&lt;&gt;"manual",$M22&lt;&gt;1)),
IF(Import.TipoArredondamento&lt;&gt;"TransfereGOV",
ROUND(OFFSET($P22,0,AU$13),15-13*ORÇAMENTO!$AF$7)/$H22*OFFSET(ORÇAMENTO!$X$15,ROW(AU22)-ROW(AU$15),0),
ROUND(ROUND(OFFSET($P22,0,AU$13),15-13*ORÇAMENTO!$AF$7)*OFFSET(ORÇAMENTO!$W$15,ROW(AU22)-ROW(AU$15),0),15-13*ORÇAMENTO!$AF$11)),0)</f>
        <v>0</v>
      </c>
      <c r="AV22" s="631">
        <f ca="1">IF(AND($D22="Serviço",AV$12&lt;&gt;0,$H22&gt;0,OR(AUTOEVENTO&lt;&gt;"manual",$M22&lt;&gt;1)),
IF(Import.TipoArredondamento&lt;&gt;"TransfereGOV",
ROUND(OFFSET($P22,0,AV$13),15-13*ORÇAMENTO!$AF$7)/$H22*OFFSET(ORÇAMENTO!$X$15,ROW(AV22)-ROW(AV$15),0),
ROUND(ROUND(OFFSET($P22,0,AV$13),15-13*ORÇAMENTO!$AF$7)*OFFSET(ORÇAMENTO!$W$15,ROW(AV22)-ROW(AV$15),0),15-13*ORÇAMENTO!$AF$11)),0)</f>
        <v>0</v>
      </c>
      <c r="AW22" s="631">
        <f ca="1">IF(AND($D22="Serviço",AW$12&lt;&gt;0,$H22&gt;0,OR(AUTOEVENTO&lt;&gt;"manual",$M22&lt;&gt;1)),
IF(Import.TipoArredondamento&lt;&gt;"TransfereGOV",
ROUND(OFFSET($P22,0,AW$13),15-13*ORÇAMENTO!$AF$7)/$H22*OFFSET(ORÇAMENTO!$X$15,ROW(AW22)-ROW(AW$15),0),
ROUND(ROUND(OFFSET($P22,0,AW$13),15-13*ORÇAMENTO!$AF$7)*OFFSET(ORÇAMENTO!$W$15,ROW(AW22)-ROW(AW$15),0),15-13*ORÇAMENTO!$AF$11)),0)</f>
        <v>0</v>
      </c>
      <c r="AX22" s="631">
        <f ca="1">IF(AND($D22="Serviço",AX$12&lt;&gt;0,$H22&gt;0,OR(AUTOEVENTO&lt;&gt;"manual",$M22&lt;&gt;1)),
IF(Import.TipoArredondamento&lt;&gt;"TransfereGOV",
ROUND(OFFSET($P22,0,AX$13),15-13*ORÇAMENTO!$AF$7)/$H22*OFFSET(ORÇAMENTO!$X$15,ROW(AX22)-ROW(AX$15),0),
ROUND(ROUND(OFFSET($P22,0,AX$13),15-13*ORÇAMENTO!$AF$7)*OFFSET(ORÇAMENTO!$W$15,ROW(AX22)-ROW(AX$15),0),15-13*ORÇAMENTO!$AF$11)),0)</f>
        <v>0</v>
      </c>
      <c r="AY22" s="631">
        <f ca="1">IF(AND($D22="Serviço",AY$12&lt;&gt;0,$H22&gt;0,OR(AUTOEVENTO&lt;&gt;"manual",$M22&lt;&gt;1)),
IF(Import.TipoArredondamento&lt;&gt;"TransfereGOV",
ROUND(OFFSET($P22,0,AY$13),15-13*ORÇAMENTO!$AF$7)/$H22*OFFSET(ORÇAMENTO!$X$15,ROW(AY22)-ROW(AY$15),0),
ROUND(ROUND(OFFSET($P22,0,AY$13),15-13*ORÇAMENTO!$AF$7)*OFFSET(ORÇAMENTO!$W$15,ROW(AY22)-ROW(AY$15),0),15-13*ORÇAMENTO!$AF$11)),0)</f>
        <v>0</v>
      </c>
      <c r="AZ22" s="631">
        <f ca="1">IF(AND($D22="Serviço",AZ$12&lt;&gt;0,$H22&gt;0,OR(AUTOEVENTO&lt;&gt;"manual",$M22&lt;&gt;1)),
IF(Import.TipoArredondamento&lt;&gt;"TransfereGOV",
ROUND(OFFSET($P22,0,AZ$13),15-13*ORÇAMENTO!$AF$7)/$H22*OFFSET(ORÇAMENTO!$X$15,ROW(AZ22)-ROW(AZ$15),0),
ROUND(ROUND(OFFSET($P22,0,AZ$13),15-13*ORÇAMENTO!$AF$7)*OFFSET(ORÇAMENTO!$W$15,ROW(AZ22)-ROW(AZ$15),0),15-13*ORÇAMENTO!$AF$11)),0)</f>
        <v>0</v>
      </c>
      <c r="BA22" s="632">
        <f ca="1">IF(AND($D22="Serviço",BA$12&lt;&gt;0,$H22&gt;0,OR(AUTOEVENTO&lt;&gt;"manual",$M22&lt;&gt;1)),
IF(Import.TipoArredondamento&lt;&gt;"TransfereGOV",
ROUND(OFFSET($P22,0,BA$13),15-13*ORÇAMENTO!$AF$7)/$H22*OFFSET(ORÇAMENTO!$X$15,ROW(BA22)-ROW(BA$15),0),
ROUND(ROUND(OFFSET($P22,0,BA$13),15-13*ORÇAMENTO!$AF$7)*OFFSET(ORÇAMENTO!$W$15,ROW(BA22)-ROW(BA$15),0),15-13*ORÇAMENTO!$AF$11)),0)</f>
        <v>0</v>
      </c>
      <c r="BC22" s="216">
        <f ca="1">IF($D22&lt;&gt;"Serviço",0,IF(AND(AUTOEVENTO="Manual",$M22=1),0,IF(OFFSET(CRONOPLE!$F$14,$M22,BC$13)="",10^12,OFFSET(CRONOPLE!$F$14,$M22,BC$13))))</f>
        <v>1</v>
      </c>
      <c r="BD22" s="216">
        <f ca="1">IF($D22&lt;&gt;"Serviço",0,IF(AND(AUTOEVENTO="Manual",$M22=1),0,IF(OFFSET(CRONOPLE!$F$14,$M22,BD$13)="",10^12,OFFSET(CRONOPLE!$F$14,$M22,BD$13))))</f>
        <v>1</v>
      </c>
      <c r="BE22" s="216">
        <f ca="1">IF($D22&lt;&gt;"Serviço",0,IF(AND(AUTOEVENTO="Manual",$M22=1),0,IF(OFFSET(CRONOPLE!$F$14,$M22,BE$13)="",10^12,OFFSET(CRONOPLE!$F$14,$M22,BE$13))))</f>
        <v>2</v>
      </c>
      <c r="BF22" s="216">
        <f ca="1">IF($D22&lt;&gt;"Serviço",0,IF(AND(AUTOEVENTO="Manual",$M22=1),0,IF(OFFSET(CRONOPLE!$F$14,$M22,BF$13)="",10^12,OFFSET(CRONOPLE!$F$14,$M22,BF$13))))</f>
        <v>2</v>
      </c>
      <c r="BG22" s="216">
        <f ca="1">IF($D22&lt;&gt;"Serviço",0,IF(AND(AUTOEVENTO="Manual",$M22=1),0,IF(OFFSET(CRONOPLE!$F$14,$M22,BG$13)="",10^12,OFFSET(CRONOPLE!$F$14,$M22,BG$13))))</f>
        <v>3</v>
      </c>
      <c r="BH22" s="216">
        <f ca="1">IF($D22&lt;&gt;"Serviço",0,IF(AND(AUTOEVENTO="Manual",$M22=1),0,IF(OFFSET(CRONOPLE!$F$14,$M22,BH$13)="",10^12,OFFSET(CRONOPLE!$F$14,$M22,BH$13))))</f>
        <v>4</v>
      </c>
      <c r="BI22" s="216">
        <f ca="1">IF($D22&lt;&gt;"Serviço",0,IF(AND(AUTOEVENTO="Manual",$M22=1),0,IF(OFFSET(CRONOPLE!$F$14,$M22,BI$13)="",10^12,OFFSET(CRONOPLE!$F$14,$M22,BI$13))))</f>
        <v>4</v>
      </c>
      <c r="BJ22" s="216">
        <f ca="1">IF($D22&lt;&gt;"Serviço",0,IF(AND(AUTOEVENTO="Manual",$M22=1),0,IF(OFFSET(CRONOPLE!$F$14,$M22,BJ$13)="",10^12,OFFSET(CRONOPLE!$F$14,$M22,BJ$13))))</f>
        <v>4</v>
      </c>
      <c r="BK22" s="216">
        <f ca="1">IF($D22&lt;&gt;"Serviço",0,IF(AND(AUTOEVENTO="Manual",$M22=1),0,IF(OFFSET(CRONOPLE!$F$14,$M22,BK$13)="",10^12,OFFSET(CRONOPLE!$F$14,$M22,BK$13))))</f>
        <v>5</v>
      </c>
      <c r="BL22" s="216">
        <f ca="1">IF($D22&lt;&gt;"Serviço",0,IF(AND(AUTOEVENTO="Manual",$M22=1),0,IF(OFFSET(CRONOPLE!$F$14,$M22,BL$13)="",10^12,OFFSET(CRONOPLE!$F$14,$M22,BL$13))))</f>
        <v>5</v>
      </c>
      <c r="BM22" s="216">
        <f ca="1">IF($D22&lt;&gt;"Serviço",0,IF(AND(AUTOEVENTO="Manual",$M22=1),0,IF(OFFSET(CRONOPLE!$F$14,$M22,BM$13)="",10^12,OFFSET(CRONOPLE!$F$14,$M22,BM$13))))</f>
        <v>6</v>
      </c>
      <c r="BN22" s="216">
        <f ca="1">IF($D22&lt;&gt;"Serviço",0,IF(AND(AUTOEVENTO="Manual",$M22=1),0,IF(OFFSET(CRONOPLE!$F$14,$M22,BN$13)="",10^12,OFFSET(CRONOPLE!$F$14,$M22,BN$13))))</f>
        <v>6</v>
      </c>
      <c r="BO22" s="216">
        <f ca="1">IF($D22&lt;&gt;"Serviço",0,IF(AND(AUTOEVENTO="Manual",$M22=1),0,IF(OFFSET(CRONOPLE!$F$14,$M22,BO$13)="",10^12,OFFSET(CRONOPLE!$F$14,$M22,BO$13))))</f>
        <v>6</v>
      </c>
      <c r="BP22" s="216">
        <f ca="1">IF($D22&lt;&gt;"Serviço",0,IF(AND(AUTOEVENTO="Manual",$M22=1),0,IF(OFFSET(CRONOPLE!$F$14,$M22,BP$13)="",10^12,OFFSET(CRONOPLE!$F$14,$M22,BP$13))))</f>
        <v>1000000000000</v>
      </c>
      <c r="BQ22" s="216">
        <f ca="1">IF($D22&lt;&gt;"Serviço",0,IF(AND(AUTOEVENTO="Manual",$M22=1),0,IF(OFFSET(CRONOPLE!$F$14,$M22,BQ$13)="",10^12,OFFSET(CRONOPLE!$F$14,$M22,BQ$13))))</f>
        <v>1000000000000</v>
      </c>
      <c r="BR22" s="216">
        <f ca="1">IF($D22&lt;&gt;"Serviço",0,IF(AND(AUTOEVENTO="Manual",$M22=1),0,IF(OFFSET(CRONOPLE!$F$14,$M22,BR$13)="",10^12,OFFSET(CRONOPLE!$F$14,$M22,BR$13))))</f>
        <v>1000000000000</v>
      </c>
      <c r="BS22" s="216">
        <f ca="1">IF($D22&lt;&gt;"Serviço",0,IF(AND(AUTOEVENTO="Manual",$M22=1),0,IF(OFFSET(CRONOPLE!$F$14,$M22,BS$13)="",10^12,OFFSET(CRONOPLE!$F$14,$M22,BS$13))))</f>
        <v>1000000000000</v>
      </c>
      <c r="BT22" s="216">
        <f ca="1">IF($D22&lt;&gt;"Serviço",0,IF(AND(AUTOEVENTO="Manual",$M22=1),0,IF(OFFSET(CRONOPLE!$F$14,$M22,BT$13)="",10^12,OFFSET(CRONOPLE!$F$14,$M22,BT$13))))</f>
        <v>1000000000000</v>
      </c>
      <c r="BV22" s="217">
        <f ca="1">IF($D22&lt;&gt;"Serviço",0,IF(OR(AND(AUTOEVENTO="Manual",$M22=1),$M22&gt;(ROW(PLE.lastrow)-ROW(PLE.firstrow))),0,IF(OFFSET(PLE!$G$14,$M22,BV$13)="",10^12,OFFSET(PLE!$G$14,$M22,BV$13))))</f>
        <v>1000000000000</v>
      </c>
      <c r="BW22" s="217">
        <f ca="1">IF($D22&lt;&gt;"Serviço",0,IF(OR(AND(AUTOEVENTO="Manual",$M22=1),$M22&gt;(ROW(PLE.lastrow)-ROW(PLE.firstrow))),0,IF(OFFSET(PLE!$G$14,$M22,BW$13)="",10^12,OFFSET(PLE!$G$14,$M22,BW$13))))</f>
        <v>1000000000000</v>
      </c>
      <c r="BX22" s="217">
        <f ca="1">IF($D22&lt;&gt;"Serviço",0,IF(OR(AND(AUTOEVENTO="Manual",$M22=1),$M22&gt;(ROW(PLE.lastrow)-ROW(PLE.firstrow))),0,IF(OFFSET(PLE!$G$14,$M22,BX$13)="",10^12,OFFSET(PLE!$G$14,$M22,BX$13))))</f>
        <v>1000000000000</v>
      </c>
      <c r="BY22" s="217">
        <f ca="1">IF($D22&lt;&gt;"Serviço",0,IF(OR(AND(AUTOEVENTO="Manual",$M22=1),$M22&gt;(ROW(PLE.lastrow)-ROW(PLE.firstrow))),0,IF(OFFSET(PLE!$G$14,$M22,BY$13)="",10^12,OFFSET(PLE!$G$14,$M22,BY$13))))</f>
        <v>1000000000000</v>
      </c>
      <c r="BZ22" s="217">
        <f ca="1">IF($D22&lt;&gt;"Serviço",0,IF(OR(AND(AUTOEVENTO="Manual",$M22=1),$M22&gt;(ROW(PLE.lastrow)-ROW(PLE.firstrow))),0,IF(OFFSET(PLE!$G$14,$M22,BZ$13)="",10^12,OFFSET(PLE!$G$14,$M22,BZ$13))))</f>
        <v>1000000000000</v>
      </c>
      <c r="CA22" s="217">
        <f ca="1">IF($D22&lt;&gt;"Serviço",0,IF(OR(AND(AUTOEVENTO="Manual",$M22=1),$M22&gt;(ROW(PLE.lastrow)-ROW(PLE.firstrow))),0,IF(OFFSET(PLE!$G$14,$M22,CA$13)="",10^12,OFFSET(PLE!$G$14,$M22,CA$13))))</f>
        <v>1000000000000</v>
      </c>
      <c r="CB22" s="217">
        <f ca="1">IF($D22&lt;&gt;"Serviço",0,IF(OR(AND(AUTOEVENTO="Manual",$M22=1),$M22&gt;(ROW(PLE.lastrow)-ROW(PLE.firstrow))),0,IF(OFFSET(PLE!$G$14,$M22,CB$13)="",10^12,OFFSET(PLE!$G$14,$M22,CB$13))))</f>
        <v>1000000000000</v>
      </c>
      <c r="CC22" s="217">
        <f ca="1">IF($D22&lt;&gt;"Serviço",0,IF(OR(AND(AUTOEVENTO="Manual",$M22=1),$M22&gt;(ROW(PLE.lastrow)-ROW(PLE.firstrow))),0,IF(OFFSET(PLE!$G$14,$M22,CC$13)="",10^12,OFFSET(PLE!$G$14,$M22,CC$13))))</f>
        <v>1000000000000</v>
      </c>
      <c r="CD22" s="217">
        <f ca="1">IF($D22&lt;&gt;"Serviço",0,IF(OR(AND(AUTOEVENTO="Manual",$M22=1),$M22&gt;(ROW(PLE.lastrow)-ROW(PLE.firstrow))),0,IF(OFFSET(PLE!$G$14,$M22,CD$13)="",10^12,OFFSET(PLE!$G$14,$M22,CD$13))))</f>
        <v>1000000000000</v>
      </c>
      <c r="CE22" s="217">
        <f ca="1">IF($D22&lt;&gt;"Serviço",0,IF(OR(AND(AUTOEVENTO="Manual",$M22=1),$M22&gt;(ROW(PLE.lastrow)-ROW(PLE.firstrow))),0,IF(OFFSET(PLE!$G$14,$M22,CE$13)="",10^12,OFFSET(PLE!$G$14,$M22,CE$13))))</f>
        <v>1000000000000</v>
      </c>
      <c r="CF22" s="217">
        <f ca="1">IF($D22&lt;&gt;"Serviço",0,IF(OR(AND(AUTOEVENTO="Manual",$M22=1),$M22&gt;(ROW(PLE.lastrow)-ROW(PLE.firstrow))),0,IF(OFFSET(PLE!$G$14,$M22,CF$13)="",10^12,OFFSET(PLE!$G$14,$M22,CF$13))))</f>
        <v>1000000000000</v>
      </c>
      <c r="CG22" s="217">
        <f ca="1">IF($D22&lt;&gt;"Serviço",0,IF(OR(AND(AUTOEVENTO="Manual",$M22=1),$M22&gt;(ROW(PLE.lastrow)-ROW(PLE.firstrow))),0,IF(OFFSET(PLE!$G$14,$M22,CG$13)="",10^12,OFFSET(PLE!$G$14,$M22,CG$13))))</f>
        <v>1000000000000</v>
      </c>
      <c r="CH22" s="217">
        <f ca="1">IF($D22&lt;&gt;"Serviço",0,IF(OR(AND(AUTOEVENTO="Manual",$M22=1),$M22&gt;(ROW(PLE.lastrow)-ROW(PLE.firstrow))),0,IF(OFFSET(PLE!$G$14,$M22,CH$13)="",10^12,OFFSET(PLE!$G$14,$M22,CH$13))))</f>
        <v>1000000000000</v>
      </c>
      <c r="CI22" s="217">
        <f ca="1">IF($D22&lt;&gt;"Serviço",0,IF(OR(AND(AUTOEVENTO="Manual",$M22=1),$M22&gt;(ROW(PLE.lastrow)-ROW(PLE.firstrow))),0,IF(OFFSET(PLE!$G$14,$M22,CI$13)="",10^12,OFFSET(PLE!$G$14,$M22,CI$13))))</f>
        <v>1000000000000</v>
      </c>
      <c r="CJ22" s="217">
        <f ca="1">IF($D22&lt;&gt;"Serviço",0,IF(OR(AND(AUTOEVENTO="Manual",$M22=1),$M22&gt;(ROW(PLE.lastrow)-ROW(PLE.firstrow))),0,IF(OFFSET(PLE!$G$14,$M22,CJ$13)="",10^12,OFFSET(PLE!$G$14,$M22,CJ$13))))</f>
        <v>1000000000000</v>
      </c>
      <c r="CK22" s="217">
        <f ca="1">IF($D22&lt;&gt;"Serviço",0,IF(OR(AND(AUTOEVENTO="Manual",$M22=1),$M22&gt;(ROW(PLE.lastrow)-ROW(PLE.firstrow))),0,IF(OFFSET(PLE!$G$14,$M22,CK$13)="",10^12,OFFSET(PLE!$G$14,$M22,CK$13))))</f>
        <v>1000000000000</v>
      </c>
      <c r="CL22" s="217">
        <f ca="1">IF($D22&lt;&gt;"Serviço",0,IF(OR(AND(AUTOEVENTO="Manual",$M22=1),$M22&gt;(ROW(PLE.lastrow)-ROW(PLE.firstrow))),0,IF(OFFSET(PLE!$G$14,$M22,CL$13)="",10^12,OFFSET(PLE!$G$14,$M22,CL$13))))</f>
        <v>1000000000000</v>
      </c>
      <c r="CM22" s="217">
        <f ca="1">IF($D22&lt;&gt;"Serviço",0,IF(OR(AND(AUTOEVENTO="Manual",$M22=1),$M22&gt;(ROW(PLE.lastrow)-ROW(PLE.firstrow))),0,IF(OFFSET(PLE!$G$14,$M22,CM$13)="",10^12,OFFSET(PLE!$G$14,$M22,CM$13))))</f>
        <v>1000000000000</v>
      </c>
    </row>
    <row r="23" spans="1:91" ht="25.5" x14ac:dyDescent="0.2">
      <c r="A23" s="9" t="str">
        <f t="shared" ca="1" si="9"/>
        <v>5</v>
      </c>
      <c r="B23" s="9" t="str">
        <f ca="1">OFFSET(ORÇAMENTO!C$15,ROW(B23)-ROW(B$15),0)</f>
        <v>S</v>
      </c>
      <c r="C23" s="9" t="str">
        <f ca="1">OFFSET(ORÇAMENTO!L$15,ROW(C23)-ROW(C$15),0)</f>
        <v/>
      </c>
      <c r="D23" s="146" t="str">
        <f ca="1">OFFSET(ORÇAMENTO!N$15,ROW(D23)-ROW(D$15),0)</f>
        <v>Serviço</v>
      </c>
      <c r="E23" s="206" t="str">
        <f ca="1">OFFSET(ORÇAMENTO!O$15,ROW(E23)-ROW(E$15),0)</f>
        <v>-</v>
      </c>
      <c r="F23" s="207" t="str">
        <f ca="1">OFFSET(ORÇAMENTO!R$15,ROW(F23)-ROW(F$15),0)</f>
        <v>(abra o arquivo 'Referência 12-2023.xlsm)</v>
      </c>
      <c r="G23" s="208" t="str">
        <f ca="1">IF($D23&lt;&gt;"Serviço","",OFFSET(ORÇAMENTO!S$15,ROW(G23)-ROW(G$15),0))</f>
        <v>-</v>
      </c>
      <c r="H23" s="152">
        <f ca="1">IF($D23&lt;&gt;"Serviço",0,IF(ACOMPANHAMENTO="BM",ROUND(OFFSET(ORÇAMENTO!AJ$15,ROW(H23)-ROW(H$15),0),15-13*ORÇAMENTO!$AF$7),SUMPRODUCT(($Q$12:$AI$12&lt;&gt;"")*ROUND($Q23:$AI23,15-13*ORÇAMENTO!$AF$7))))</f>
        <v>9467.74</v>
      </c>
      <c r="I23" s="649" t="s">
        <v>504</v>
      </c>
      <c r="K23" s="209"/>
      <c r="L23" s="210" t="s">
        <v>255</v>
      </c>
      <c r="M23" s="211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212" t="str">
        <f ca="1">IF($D23&lt;&gt;"Serviço","",IF(AUTOEVENTO="Manual",IF($A23=0,"&lt;-- defina o número do agrupador",OFFSET(EVENTOS!$D$14,$A23,0)),OFFSET($F$15,$A23,0)))</f>
        <v xml:space="preserve">TERRAPLANAGEM </v>
      </c>
      <c r="O23" s="213"/>
      <c r="Q23" s="213">
        <f>Q22</f>
        <v>154.44</v>
      </c>
      <c r="R23" s="213">
        <f t="shared" ref="R23:S23" si="10">R22</f>
        <v>809.06</v>
      </c>
      <c r="S23" s="213">
        <f t="shared" si="10"/>
        <v>545.59</v>
      </c>
      <c r="T23" s="213">
        <f t="shared" ref="T23:AB23" si="11">T22</f>
        <v>1233.7</v>
      </c>
      <c r="U23" s="213">
        <f t="shared" si="11"/>
        <v>2439.54</v>
      </c>
      <c r="V23" s="213">
        <f t="shared" si="11"/>
        <v>134.88</v>
      </c>
      <c r="W23" s="213">
        <f t="shared" si="11"/>
        <v>139.83000000000001</v>
      </c>
      <c r="X23" s="213">
        <f t="shared" si="11"/>
        <v>1225.83</v>
      </c>
      <c r="Y23" s="213">
        <f t="shared" si="11"/>
        <v>464.86</v>
      </c>
      <c r="Z23" s="213">
        <f t="shared" si="11"/>
        <v>1266.01</v>
      </c>
      <c r="AA23" s="213">
        <f t="shared" si="11"/>
        <v>955.2</v>
      </c>
      <c r="AB23" s="213">
        <f t="shared" si="11"/>
        <v>98.8</v>
      </c>
      <c r="AC23" s="213"/>
      <c r="AD23" s="213"/>
      <c r="AE23" s="214"/>
      <c r="AF23" s="214"/>
      <c r="AG23" s="214"/>
      <c r="AH23" s="215"/>
      <c r="AJ23" s="630">
        <f ca="1">IF(AND($D23="Serviço",AJ$12&lt;&gt;0,$H23&gt;0,OR(AUTOEVENTO&lt;&gt;"manual",$M23&lt;&gt;1)),
IF(Import.TipoArredondamento&lt;&gt;"TransfereGOV",
ROUND(OFFSET($P23,0,AJ$13),15-13*ORÇAMENTO!$AF$7)/$H23*OFFSET(ORÇAMENTO!$X$15,ROW(AJ23)-ROW(AJ$15),0),
ROUND(ROUND(OFFSET($P23,0,AJ$13),15-13*ORÇAMENTO!$AF$7)*OFFSET(ORÇAMENTO!$W$15,ROW(AJ23)-ROW(AJ$15),0),15-13*ORÇAMENTO!$AF$11)),0)</f>
        <v>0</v>
      </c>
      <c r="AK23" s="631">
        <f ca="1">IF(AND($D23="Serviço",AK$12&lt;&gt;0,$H23&gt;0,OR(AUTOEVENTO&lt;&gt;"manual",$M23&lt;&gt;1)),
IF(Import.TipoArredondamento&lt;&gt;"TransfereGOV",
ROUND(OFFSET($P23,0,AK$13),15-13*ORÇAMENTO!$AF$7)/$H23*OFFSET(ORÇAMENTO!$X$15,ROW(AK23)-ROW(AK$15),0),
ROUND(ROUND(OFFSET($P23,0,AK$13),15-13*ORÇAMENTO!$AF$7)*OFFSET(ORÇAMENTO!$W$15,ROW(AK23)-ROW(AK$15),0),15-13*ORÇAMENTO!$AF$11)),0)</f>
        <v>0</v>
      </c>
      <c r="AL23" s="631">
        <f ca="1">IF(AND($D23="Serviço",AL$12&lt;&gt;0,$H23&gt;0,OR(AUTOEVENTO&lt;&gt;"manual",$M23&lt;&gt;1)),
IF(Import.TipoArredondamento&lt;&gt;"TransfereGOV",
ROUND(OFFSET($P23,0,AL$13),15-13*ORÇAMENTO!$AF$7)/$H23*OFFSET(ORÇAMENTO!$X$15,ROW(AL23)-ROW(AL$15),0),
ROUND(ROUND(OFFSET($P23,0,AL$13),15-13*ORÇAMENTO!$AF$7)*OFFSET(ORÇAMENTO!$W$15,ROW(AL23)-ROW(AL$15),0),15-13*ORÇAMENTO!$AF$11)),0)</f>
        <v>0</v>
      </c>
      <c r="AM23" s="631">
        <f ca="1">IF(AND($D23="Serviço",AM$12&lt;&gt;0,$H23&gt;0,OR(AUTOEVENTO&lt;&gt;"manual",$M23&lt;&gt;1)),
IF(Import.TipoArredondamento&lt;&gt;"TransfereGOV",
ROUND(OFFSET($P23,0,AM$13),15-13*ORÇAMENTO!$AF$7)/$H23*OFFSET(ORÇAMENTO!$X$15,ROW(AM23)-ROW(AM$15),0),
ROUND(ROUND(OFFSET($P23,0,AM$13),15-13*ORÇAMENTO!$AF$7)*OFFSET(ORÇAMENTO!$W$15,ROW(AM23)-ROW(AM$15),0),15-13*ORÇAMENTO!$AF$11)),0)</f>
        <v>0</v>
      </c>
      <c r="AN23" s="631">
        <f ca="1">IF(AND($D23="Serviço",AN$12&lt;&gt;0,$H23&gt;0,OR(AUTOEVENTO&lt;&gt;"manual",$M23&lt;&gt;1)),
IF(Import.TipoArredondamento&lt;&gt;"TransfereGOV",
ROUND(OFFSET($P23,0,AN$13),15-13*ORÇAMENTO!$AF$7)/$H23*OFFSET(ORÇAMENTO!$X$15,ROW(AN23)-ROW(AN$15),0),
ROUND(ROUND(OFFSET($P23,0,AN$13),15-13*ORÇAMENTO!$AF$7)*OFFSET(ORÇAMENTO!$W$15,ROW(AN23)-ROW(AN$15),0),15-13*ORÇAMENTO!$AF$11)),0)</f>
        <v>0</v>
      </c>
      <c r="AO23" s="631">
        <f ca="1">IF(AND($D23="Serviço",AO$12&lt;&gt;0,$H23&gt;0,OR(AUTOEVENTO&lt;&gt;"manual",$M23&lt;&gt;1)),
IF(Import.TipoArredondamento&lt;&gt;"TransfereGOV",
ROUND(OFFSET($P23,0,AO$13),15-13*ORÇAMENTO!$AF$7)/$H23*OFFSET(ORÇAMENTO!$X$15,ROW(AO23)-ROW(AO$15),0),
ROUND(ROUND(OFFSET($P23,0,AO$13),15-13*ORÇAMENTO!$AF$7)*OFFSET(ORÇAMENTO!$W$15,ROW(AO23)-ROW(AO$15),0),15-13*ORÇAMENTO!$AF$11)),0)</f>
        <v>0</v>
      </c>
      <c r="AP23" s="631">
        <f ca="1">IF(AND($D23="Serviço",AP$12&lt;&gt;0,$H23&gt;0,OR(AUTOEVENTO&lt;&gt;"manual",$M23&lt;&gt;1)),
IF(Import.TipoArredondamento&lt;&gt;"TransfereGOV",
ROUND(OFFSET($P23,0,AP$13),15-13*ORÇAMENTO!$AF$7)/$H23*OFFSET(ORÇAMENTO!$X$15,ROW(AP23)-ROW(AP$15),0),
ROUND(ROUND(OFFSET($P23,0,AP$13),15-13*ORÇAMENTO!$AF$7)*OFFSET(ORÇAMENTO!$W$15,ROW(AP23)-ROW(AP$15),0),15-13*ORÇAMENTO!$AF$11)),0)</f>
        <v>0</v>
      </c>
      <c r="AQ23" s="631">
        <f ca="1">IF(AND($D23="Serviço",AQ$12&lt;&gt;0,$H23&gt;0,OR(AUTOEVENTO&lt;&gt;"manual",$M23&lt;&gt;1)),
IF(Import.TipoArredondamento&lt;&gt;"TransfereGOV",
ROUND(OFFSET($P23,0,AQ$13),15-13*ORÇAMENTO!$AF$7)/$H23*OFFSET(ORÇAMENTO!$X$15,ROW(AQ23)-ROW(AQ$15),0),
ROUND(ROUND(OFFSET($P23,0,AQ$13),15-13*ORÇAMENTO!$AF$7)*OFFSET(ORÇAMENTO!$W$15,ROW(AQ23)-ROW(AQ$15),0),15-13*ORÇAMENTO!$AF$11)),0)</f>
        <v>0</v>
      </c>
      <c r="AR23" s="631">
        <f ca="1">IF(AND($D23="Serviço",AR$12&lt;&gt;0,$H23&gt;0,OR(AUTOEVENTO&lt;&gt;"manual",$M23&lt;&gt;1)),
IF(Import.TipoArredondamento&lt;&gt;"TransfereGOV",
ROUND(OFFSET($P23,0,AR$13),15-13*ORÇAMENTO!$AF$7)/$H23*OFFSET(ORÇAMENTO!$X$15,ROW(AR23)-ROW(AR$15),0),
ROUND(ROUND(OFFSET($P23,0,AR$13),15-13*ORÇAMENTO!$AF$7)*OFFSET(ORÇAMENTO!$W$15,ROW(AR23)-ROW(AR$15),0),15-13*ORÇAMENTO!$AF$11)),0)</f>
        <v>0</v>
      </c>
      <c r="AS23" s="632">
        <f ca="1">IF(AND($D23="Serviço",AS$12&lt;&gt;0,$H23&gt;0,OR(AUTOEVENTO&lt;&gt;"manual",$M23&lt;&gt;1)),
IF(Import.TipoArredondamento&lt;&gt;"TransfereGOV",
ROUND(OFFSET($P23,0,AS$13),15-13*ORÇAMENTO!$AF$7)/$H23*OFFSET(ORÇAMENTO!$X$15,ROW(AS23)-ROW(AS$15),0),
ROUND(ROUND(OFFSET($P23,0,AS$13),15-13*ORÇAMENTO!$AF$7)*OFFSET(ORÇAMENTO!$W$15,ROW(AS23)-ROW(AS$15),0),15-13*ORÇAMENTO!$AF$11)),0)</f>
        <v>0</v>
      </c>
      <c r="AT23" s="631">
        <f ca="1">IF(AND($D23="Serviço",AT$12&lt;&gt;0,$H23&gt;0,OR(AUTOEVENTO&lt;&gt;"manual",$M23&lt;&gt;1)),
IF(Import.TipoArredondamento&lt;&gt;"TransfereGOV",
ROUND(OFFSET($P23,0,AT$13),15-13*ORÇAMENTO!$AF$7)/$H23*OFFSET(ORÇAMENTO!$X$15,ROW(AT23)-ROW(AT$15),0),
ROUND(ROUND(OFFSET($P23,0,AT$13),15-13*ORÇAMENTO!$AF$7)*OFFSET(ORÇAMENTO!$W$15,ROW(AT23)-ROW(AT$15),0),15-13*ORÇAMENTO!$AF$11)),0)</f>
        <v>0</v>
      </c>
      <c r="AU23" s="631">
        <f ca="1">IF(AND($D23="Serviço",AU$12&lt;&gt;0,$H23&gt;0,OR(AUTOEVENTO&lt;&gt;"manual",$M23&lt;&gt;1)),
IF(Import.TipoArredondamento&lt;&gt;"TransfereGOV",
ROUND(OFFSET($P23,0,AU$13),15-13*ORÇAMENTO!$AF$7)/$H23*OFFSET(ORÇAMENTO!$X$15,ROW(AU23)-ROW(AU$15),0),
ROUND(ROUND(OFFSET($P23,0,AU$13),15-13*ORÇAMENTO!$AF$7)*OFFSET(ORÇAMENTO!$W$15,ROW(AU23)-ROW(AU$15),0),15-13*ORÇAMENTO!$AF$11)),0)</f>
        <v>0</v>
      </c>
      <c r="AV23" s="631">
        <f ca="1">IF(AND($D23="Serviço",AV$12&lt;&gt;0,$H23&gt;0,OR(AUTOEVENTO&lt;&gt;"manual",$M23&lt;&gt;1)),
IF(Import.TipoArredondamento&lt;&gt;"TransfereGOV",
ROUND(OFFSET($P23,0,AV$13),15-13*ORÇAMENTO!$AF$7)/$H23*OFFSET(ORÇAMENTO!$X$15,ROW(AV23)-ROW(AV$15),0),
ROUND(ROUND(OFFSET($P23,0,AV$13),15-13*ORÇAMENTO!$AF$7)*OFFSET(ORÇAMENTO!$W$15,ROW(AV23)-ROW(AV$15),0),15-13*ORÇAMENTO!$AF$11)),0)</f>
        <v>0</v>
      </c>
      <c r="AW23" s="631">
        <f ca="1">IF(AND($D23="Serviço",AW$12&lt;&gt;0,$H23&gt;0,OR(AUTOEVENTO&lt;&gt;"manual",$M23&lt;&gt;1)),
IF(Import.TipoArredondamento&lt;&gt;"TransfereGOV",
ROUND(OFFSET($P23,0,AW$13),15-13*ORÇAMENTO!$AF$7)/$H23*OFFSET(ORÇAMENTO!$X$15,ROW(AW23)-ROW(AW$15),0),
ROUND(ROUND(OFFSET($P23,0,AW$13),15-13*ORÇAMENTO!$AF$7)*OFFSET(ORÇAMENTO!$W$15,ROW(AW23)-ROW(AW$15),0),15-13*ORÇAMENTO!$AF$11)),0)</f>
        <v>0</v>
      </c>
      <c r="AX23" s="631">
        <f ca="1">IF(AND($D23="Serviço",AX$12&lt;&gt;0,$H23&gt;0,OR(AUTOEVENTO&lt;&gt;"manual",$M23&lt;&gt;1)),
IF(Import.TipoArredondamento&lt;&gt;"TransfereGOV",
ROUND(OFFSET($P23,0,AX$13),15-13*ORÇAMENTO!$AF$7)/$H23*OFFSET(ORÇAMENTO!$X$15,ROW(AX23)-ROW(AX$15),0),
ROUND(ROUND(OFFSET($P23,0,AX$13),15-13*ORÇAMENTO!$AF$7)*OFFSET(ORÇAMENTO!$W$15,ROW(AX23)-ROW(AX$15),0),15-13*ORÇAMENTO!$AF$11)),0)</f>
        <v>0</v>
      </c>
      <c r="AY23" s="631">
        <f ca="1">IF(AND($D23="Serviço",AY$12&lt;&gt;0,$H23&gt;0,OR(AUTOEVENTO&lt;&gt;"manual",$M23&lt;&gt;1)),
IF(Import.TipoArredondamento&lt;&gt;"TransfereGOV",
ROUND(OFFSET($P23,0,AY$13),15-13*ORÇAMENTO!$AF$7)/$H23*OFFSET(ORÇAMENTO!$X$15,ROW(AY23)-ROW(AY$15),0),
ROUND(ROUND(OFFSET($P23,0,AY$13),15-13*ORÇAMENTO!$AF$7)*OFFSET(ORÇAMENTO!$W$15,ROW(AY23)-ROW(AY$15),0),15-13*ORÇAMENTO!$AF$11)),0)</f>
        <v>0</v>
      </c>
      <c r="AZ23" s="631">
        <f ca="1">IF(AND($D23="Serviço",AZ$12&lt;&gt;0,$H23&gt;0,OR(AUTOEVENTO&lt;&gt;"manual",$M23&lt;&gt;1)),
IF(Import.TipoArredondamento&lt;&gt;"TransfereGOV",
ROUND(OFFSET($P23,0,AZ$13),15-13*ORÇAMENTO!$AF$7)/$H23*OFFSET(ORÇAMENTO!$X$15,ROW(AZ23)-ROW(AZ$15),0),
ROUND(ROUND(OFFSET($P23,0,AZ$13),15-13*ORÇAMENTO!$AF$7)*OFFSET(ORÇAMENTO!$W$15,ROW(AZ23)-ROW(AZ$15),0),15-13*ORÇAMENTO!$AF$11)),0)</f>
        <v>0</v>
      </c>
      <c r="BA23" s="632">
        <f ca="1">IF(AND($D23="Serviço",BA$12&lt;&gt;0,$H23&gt;0,OR(AUTOEVENTO&lt;&gt;"manual",$M23&lt;&gt;1)),
IF(Import.TipoArredondamento&lt;&gt;"TransfereGOV",
ROUND(OFFSET($P23,0,BA$13),15-13*ORÇAMENTO!$AF$7)/$H23*OFFSET(ORÇAMENTO!$X$15,ROW(BA23)-ROW(BA$15),0),
ROUND(ROUND(OFFSET($P23,0,BA$13),15-13*ORÇAMENTO!$AF$7)*OFFSET(ORÇAMENTO!$W$15,ROW(BA23)-ROW(BA$15),0),15-13*ORÇAMENTO!$AF$11)),0)</f>
        <v>0</v>
      </c>
      <c r="BC23" s="216">
        <f ca="1">IF($D23&lt;&gt;"Serviço",0,IF(AND(AUTOEVENTO="Manual",$M23=1),0,IF(OFFSET(CRONOPLE!$F$14,$M23,BC$13)="",10^12,OFFSET(CRONOPLE!$F$14,$M23,BC$13))))</f>
        <v>1</v>
      </c>
      <c r="BD23" s="216">
        <f ca="1">IF($D23&lt;&gt;"Serviço",0,IF(AND(AUTOEVENTO="Manual",$M23=1),0,IF(OFFSET(CRONOPLE!$F$14,$M23,BD$13)="",10^12,OFFSET(CRONOPLE!$F$14,$M23,BD$13))))</f>
        <v>1</v>
      </c>
      <c r="BE23" s="216">
        <f ca="1">IF($D23&lt;&gt;"Serviço",0,IF(AND(AUTOEVENTO="Manual",$M23=1),0,IF(OFFSET(CRONOPLE!$F$14,$M23,BE$13)="",10^12,OFFSET(CRONOPLE!$F$14,$M23,BE$13))))</f>
        <v>2</v>
      </c>
      <c r="BF23" s="216">
        <f ca="1">IF($D23&lt;&gt;"Serviço",0,IF(AND(AUTOEVENTO="Manual",$M23=1),0,IF(OFFSET(CRONOPLE!$F$14,$M23,BF$13)="",10^12,OFFSET(CRONOPLE!$F$14,$M23,BF$13))))</f>
        <v>2</v>
      </c>
      <c r="BG23" s="216">
        <f ca="1">IF($D23&lt;&gt;"Serviço",0,IF(AND(AUTOEVENTO="Manual",$M23=1),0,IF(OFFSET(CRONOPLE!$F$14,$M23,BG$13)="",10^12,OFFSET(CRONOPLE!$F$14,$M23,BG$13))))</f>
        <v>3</v>
      </c>
      <c r="BH23" s="216">
        <f ca="1">IF($D23&lt;&gt;"Serviço",0,IF(AND(AUTOEVENTO="Manual",$M23=1),0,IF(OFFSET(CRONOPLE!$F$14,$M23,BH$13)="",10^12,OFFSET(CRONOPLE!$F$14,$M23,BH$13))))</f>
        <v>4</v>
      </c>
      <c r="BI23" s="216">
        <f ca="1">IF($D23&lt;&gt;"Serviço",0,IF(AND(AUTOEVENTO="Manual",$M23=1),0,IF(OFFSET(CRONOPLE!$F$14,$M23,BI$13)="",10^12,OFFSET(CRONOPLE!$F$14,$M23,BI$13))))</f>
        <v>4</v>
      </c>
      <c r="BJ23" s="216">
        <f ca="1">IF($D23&lt;&gt;"Serviço",0,IF(AND(AUTOEVENTO="Manual",$M23=1),0,IF(OFFSET(CRONOPLE!$F$14,$M23,BJ$13)="",10^12,OFFSET(CRONOPLE!$F$14,$M23,BJ$13))))</f>
        <v>4</v>
      </c>
      <c r="BK23" s="216">
        <f ca="1">IF($D23&lt;&gt;"Serviço",0,IF(AND(AUTOEVENTO="Manual",$M23=1),0,IF(OFFSET(CRONOPLE!$F$14,$M23,BK$13)="",10^12,OFFSET(CRONOPLE!$F$14,$M23,BK$13))))</f>
        <v>5</v>
      </c>
      <c r="BL23" s="216">
        <f ca="1">IF($D23&lt;&gt;"Serviço",0,IF(AND(AUTOEVENTO="Manual",$M23=1),0,IF(OFFSET(CRONOPLE!$F$14,$M23,BL$13)="",10^12,OFFSET(CRONOPLE!$F$14,$M23,BL$13))))</f>
        <v>5</v>
      </c>
      <c r="BM23" s="216">
        <f ca="1">IF($D23&lt;&gt;"Serviço",0,IF(AND(AUTOEVENTO="Manual",$M23=1),0,IF(OFFSET(CRONOPLE!$F$14,$M23,BM$13)="",10^12,OFFSET(CRONOPLE!$F$14,$M23,BM$13))))</f>
        <v>6</v>
      </c>
      <c r="BN23" s="216">
        <f ca="1">IF($D23&lt;&gt;"Serviço",0,IF(AND(AUTOEVENTO="Manual",$M23=1),0,IF(OFFSET(CRONOPLE!$F$14,$M23,BN$13)="",10^12,OFFSET(CRONOPLE!$F$14,$M23,BN$13))))</f>
        <v>6</v>
      </c>
      <c r="BO23" s="216">
        <f ca="1">IF($D23&lt;&gt;"Serviço",0,IF(AND(AUTOEVENTO="Manual",$M23=1),0,IF(OFFSET(CRONOPLE!$F$14,$M23,BO$13)="",10^12,OFFSET(CRONOPLE!$F$14,$M23,BO$13))))</f>
        <v>6</v>
      </c>
      <c r="BP23" s="216">
        <f ca="1">IF($D23&lt;&gt;"Serviço",0,IF(AND(AUTOEVENTO="Manual",$M23=1),0,IF(OFFSET(CRONOPLE!$F$14,$M23,BP$13)="",10^12,OFFSET(CRONOPLE!$F$14,$M23,BP$13))))</f>
        <v>1000000000000</v>
      </c>
      <c r="BQ23" s="216">
        <f ca="1">IF($D23&lt;&gt;"Serviço",0,IF(AND(AUTOEVENTO="Manual",$M23=1),0,IF(OFFSET(CRONOPLE!$F$14,$M23,BQ$13)="",10^12,OFFSET(CRONOPLE!$F$14,$M23,BQ$13))))</f>
        <v>1000000000000</v>
      </c>
      <c r="BR23" s="216">
        <f ca="1">IF($D23&lt;&gt;"Serviço",0,IF(AND(AUTOEVENTO="Manual",$M23=1),0,IF(OFFSET(CRONOPLE!$F$14,$M23,BR$13)="",10^12,OFFSET(CRONOPLE!$F$14,$M23,BR$13))))</f>
        <v>1000000000000</v>
      </c>
      <c r="BS23" s="216">
        <f ca="1">IF($D23&lt;&gt;"Serviço",0,IF(AND(AUTOEVENTO="Manual",$M23=1),0,IF(OFFSET(CRONOPLE!$F$14,$M23,BS$13)="",10^12,OFFSET(CRONOPLE!$F$14,$M23,BS$13))))</f>
        <v>1000000000000</v>
      </c>
      <c r="BT23" s="216">
        <f ca="1">IF($D23&lt;&gt;"Serviço",0,IF(AND(AUTOEVENTO="Manual",$M23=1),0,IF(OFFSET(CRONOPLE!$F$14,$M23,BT$13)="",10^12,OFFSET(CRONOPLE!$F$14,$M23,BT$13))))</f>
        <v>1000000000000</v>
      </c>
      <c r="BV23" s="217">
        <f ca="1">IF($D23&lt;&gt;"Serviço",0,IF(OR(AND(AUTOEVENTO="Manual",$M23=1),$M23&gt;(ROW(PLE.lastrow)-ROW(PLE.firstrow))),0,IF(OFFSET(PLE!$G$14,$M23,BV$13)="",10^12,OFFSET(PLE!$G$14,$M23,BV$13))))</f>
        <v>1000000000000</v>
      </c>
      <c r="BW23" s="217">
        <f ca="1">IF($D23&lt;&gt;"Serviço",0,IF(OR(AND(AUTOEVENTO="Manual",$M23=1),$M23&gt;(ROW(PLE.lastrow)-ROW(PLE.firstrow))),0,IF(OFFSET(PLE!$G$14,$M23,BW$13)="",10^12,OFFSET(PLE!$G$14,$M23,BW$13))))</f>
        <v>1000000000000</v>
      </c>
      <c r="BX23" s="217">
        <f ca="1">IF($D23&lt;&gt;"Serviço",0,IF(OR(AND(AUTOEVENTO="Manual",$M23=1),$M23&gt;(ROW(PLE.lastrow)-ROW(PLE.firstrow))),0,IF(OFFSET(PLE!$G$14,$M23,BX$13)="",10^12,OFFSET(PLE!$G$14,$M23,BX$13))))</f>
        <v>1000000000000</v>
      </c>
      <c r="BY23" s="217">
        <f ca="1">IF($D23&lt;&gt;"Serviço",0,IF(OR(AND(AUTOEVENTO="Manual",$M23=1),$M23&gt;(ROW(PLE.lastrow)-ROW(PLE.firstrow))),0,IF(OFFSET(PLE!$G$14,$M23,BY$13)="",10^12,OFFSET(PLE!$G$14,$M23,BY$13))))</f>
        <v>1000000000000</v>
      </c>
      <c r="BZ23" s="217">
        <f ca="1">IF($D23&lt;&gt;"Serviço",0,IF(OR(AND(AUTOEVENTO="Manual",$M23=1),$M23&gt;(ROW(PLE.lastrow)-ROW(PLE.firstrow))),0,IF(OFFSET(PLE!$G$14,$M23,BZ$13)="",10^12,OFFSET(PLE!$G$14,$M23,BZ$13))))</f>
        <v>1000000000000</v>
      </c>
      <c r="CA23" s="217">
        <f ca="1">IF($D23&lt;&gt;"Serviço",0,IF(OR(AND(AUTOEVENTO="Manual",$M23=1),$M23&gt;(ROW(PLE.lastrow)-ROW(PLE.firstrow))),0,IF(OFFSET(PLE!$G$14,$M23,CA$13)="",10^12,OFFSET(PLE!$G$14,$M23,CA$13))))</f>
        <v>1000000000000</v>
      </c>
      <c r="CB23" s="217">
        <f ca="1">IF($D23&lt;&gt;"Serviço",0,IF(OR(AND(AUTOEVENTO="Manual",$M23=1),$M23&gt;(ROW(PLE.lastrow)-ROW(PLE.firstrow))),0,IF(OFFSET(PLE!$G$14,$M23,CB$13)="",10^12,OFFSET(PLE!$G$14,$M23,CB$13))))</f>
        <v>1000000000000</v>
      </c>
      <c r="CC23" s="217">
        <f ca="1">IF($D23&lt;&gt;"Serviço",0,IF(OR(AND(AUTOEVENTO="Manual",$M23=1),$M23&gt;(ROW(PLE.lastrow)-ROW(PLE.firstrow))),0,IF(OFFSET(PLE!$G$14,$M23,CC$13)="",10^12,OFFSET(PLE!$G$14,$M23,CC$13))))</f>
        <v>1000000000000</v>
      </c>
      <c r="CD23" s="217">
        <f ca="1">IF($D23&lt;&gt;"Serviço",0,IF(OR(AND(AUTOEVENTO="Manual",$M23=1),$M23&gt;(ROW(PLE.lastrow)-ROW(PLE.firstrow))),0,IF(OFFSET(PLE!$G$14,$M23,CD$13)="",10^12,OFFSET(PLE!$G$14,$M23,CD$13))))</f>
        <v>1000000000000</v>
      </c>
      <c r="CE23" s="217">
        <f ca="1">IF($D23&lt;&gt;"Serviço",0,IF(OR(AND(AUTOEVENTO="Manual",$M23=1),$M23&gt;(ROW(PLE.lastrow)-ROW(PLE.firstrow))),0,IF(OFFSET(PLE!$G$14,$M23,CE$13)="",10^12,OFFSET(PLE!$G$14,$M23,CE$13))))</f>
        <v>1000000000000</v>
      </c>
      <c r="CF23" s="217">
        <f ca="1">IF($D23&lt;&gt;"Serviço",0,IF(OR(AND(AUTOEVENTO="Manual",$M23=1),$M23&gt;(ROW(PLE.lastrow)-ROW(PLE.firstrow))),0,IF(OFFSET(PLE!$G$14,$M23,CF$13)="",10^12,OFFSET(PLE!$G$14,$M23,CF$13))))</f>
        <v>1000000000000</v>
      </c>
      <c r="CG23" s="217">
        <f ca="1">IF($D23&lt;&gt;"Serviço",0,IF(OR(AND(AUTOEVENTO="Manual",$M23=1),$M23&gt;(ROW(PLE.lastrow)-ROW(PLE.firstrow))),0,IF(OFFSET(PLE!$G$14,$M23,CG$13)="",10^12,OFFSET(PLE!$G$14,$M23,CG$13))))</f>
        <v>1000000000000</v>
      </c>
      <c r="CH23" s="217">
        <f ca="1">IF($D23&lt;&gt;"Serviço",0,IF(OR(AND(AUTOEVENTO="Manual",$M23=1),$M23&gt;(ROW(PLE.lastrow)-ROW(PLE.firstrow))),0,IF(OFFSET(PLE!$G$14,$M23,CH$13)="",10^12,OFFSET(PLE!$G$14,$M23,CH$13))))</f>
        <v>1000000000000</v>
      </c>
      <c r="CI23" s="217">
        <f ca="1">IF($D23&lt;&gt;"Serviço",0,IF(OR(AND(AUTOEVENTO="Manual",$M23=1),$M23&gt;(ROW(PLE.lastrow)-ROW(PLE.firstrow))),0,IF(OFFSET(PLE!$G$14,$M23,CI$13)="",10^12,OFFSET(PLE!$G$14,$M23,CI$13))))</f>
        <v>1000000000000</v>
      </c>
      <c r="CJ23" s="217">
        <f ca="1">IF($D23&lt;&gt;"Serviço",0,IF(OR(AND(AUTOEVENTO="Manual",$M23=1),$M23&gt;(ROW(PLE.lastrow)-ROW(PLE.firstrow))),0,IF(OFFSET(PLE!$G$14,$M23,CJ$13)="",10^12,OFFSET(PLE!$G$14,$M23,CJ$13))))</f>
        <v>1000000000000</v>
      </c>
      <c r="CK23" s="217">
        <f ca="1">IF($D23&lt;&gt;"Serviço",0,IF(OR(AND(AUTOEVENTO="Manual",$M23=1),$M23&gt;(ROW(PLE.lastrow)-ROW(PLE.firstrow))),0,IF(OFFSET(PLE!$G$14,$M23,CK$13)="",10^12,OFFSET(PLE!$G$14,$M23,CK$13))))</f>
        <v>1000000000000</v>
      </c>
      <c r="CL23" s="217">
        <f ca="1">IF($D23&lt;&gt;"Serviço",0,IF(OR(AND(AUTOEVENTO="Manual",$M23=1),$M23&gt;(ROW(PLE.lastrow)-ROW(PLE.firstrow))),0,IF(OFFSET(PLE!$G$14,$M23,CL$13)="",10^12,OFFSET(PLE!$G$14,$M23,CL$13))))</f>
        <v>1000000000000</v>
      </c>
      <c r="CM23" s="217">
        <f ca="1">IF($D23&lt;&gt;"Serviço",0,IF(OR(AND(AUTOEVENTO="Manual",$M23=1),$M23&gt;(ROW(PLE.lastrow)-ROW(PLE.firstrow))),0,IF(OFFSET(PLE!$G$14,$M23,CM$13)="",10^12,OFFSET(PLE!$G$14,$M23,CM$13))))</f>
        <v>1000000000000</v>
      </c>
    </row>
    <row r="24" spans="1:91" ht="25.5" x14ac:dyDescent="0.2">
      <c r="A24" s="9" t="str">
        <f t="shared" ca="1" si="9"/>
        <v>5</v>
      </c>
      <c r="B24" s="9" t="str">
        <f ca="1">OFFSET(ORÇAMENTO!C$15,ROW(B24)-ROW(B$15),0)</f>
        <v>S</v>
      </c>
      <c r="C24" s="9" t="str">
        <f ca="1">OFFSET(ORÇAMENTO!L$15,ROW(C24)-ROW(C$15),0)</f>
        <v/>
      </c>
      <c r="D24" s="146" t="str">
        <f ca="1">OFFSET(ORÇAMENTO!N$15,ROW(D24)-ROW(D$15),0)</f>
        <v>Serviço</v>
      </c>
      <c r="E24" s="206" t="str">
        <f ca="1">OFFSET(ORÇAMENTO!O$15,ROW(E24)-ROW(E$15),0)</f>
        <v>-</v>
      </c>
      <c r="F24" s="207" t="str">
        <f ca="1">OFFSET(ORÇAMENTO!R$15,ROW(F24)-ROW(F$15),0)</f>
        <v>(abra o arquivo 'Referência 12-2023.xlsm)</v>
      </c>
      <c r="G24" s="208" t="str">
        <f ca="1">IF($D24&lt;&gt;"Serviço","",OFFSET(ORÇAMENTO!S$15,ROW(G24)-ROW(G$15),0))</f>
        <v>-</v>
      </c>
      <c r="H24" s="152">
        <f ca="1">IF($D24&lt;&gt;"Serviço",0,IF(ACOMPANHAMENTO="BM",ROUND(OFFSET(ORÇAMENTO!AJ$15,ROW(H24)-ROW(H$15),0),15-13*ORÇAMENTO!$AF$7),SUMPRODUCT(($Q$12:$AI$12&lt;&gt;"")*ROUND($Q24:$AI24,15-13*ORÇAMENTO!$AF$7))))</f>
        <v>6627.42</v>
      </c>
      <c r="I24" s="649" t="s">
        <v>504</v>
      </c>
      <c r="K24" s="209"/>
      <c r="L24" s="210" t="s">
        <v>255</v>
      </c>
      <c r="M24" s="211">
        <f ca="1">IF($D24&lt;&gt;"Serviço","",IF(AUTOEVENTO="manual",$A24,IF(ISERROR(MATCH($A24,$A$15:OFFSET($A24,-1,0),0)),MAX($M$15:OFFSET(M24,-1,0))+1,INDEX($M$15:OFFSET(M24,-1,0),MATCH($A24,$A$15:OFFSET($A24,-1,0),0)))))</f>
        <v>3</v>
      </c>
      <c r="N24" s="212" t="str">
        <f ca="1">IF($D24&lt;&gt;"Serviço","",IF(AUTOEVENTO="Manual",IF($A24=0,"&lt;-- defina o número do agrupador",OFFSET(EVENTOS!$D$14,$A24,0)),OFFSET($F$15,$A24,0)))</f>
        <v xml:space="preserve">TERRAPLANAGEM </v>
      </c>
      <c r="O24" s="213"/>
      <c r="Q24" s="213">
        <v>108.11</v>
      </c>
      <c r="R24" s="214">
        <v>566.34</v>
      </c>
      <c r="S24" s="214">
        <v>381.91</v>
      </c>
      <c r="T24" s="214">
        <v>863.59</v>
      </c>
      <c r="U24" s="214">
        <v>1707.68</v>
      </c>
      <c r="V24" s="214">
        <v>94.42</v>
      </c>
      <c r="W24" s="214">
        <v>97.88</v>
      </c>
      <c r="X24" s="214">
        <v>858.08</v>
      </c>
      <c r="Y24" s="215">
        <v>325.39999999999998</v>
      </c>
      <c r="Z24" s="214">
        <v>886.21</v>
      </c>
      <c r="AA24" s="214">
        <v>668.64</v>
      </c>
      <c r="AB24" s="214">
        <v>69.16</v>
      </c>
      <c r="AC24" s="214"/>
      <c r="AD24" s="214"/>
      <c r="AE24" s="214"/>
      <c r="AF24" s="214"/>
      <c r="AG24" s="214"/>
      <c r="AH24" s="215"/>
      <c r="AJ24" s="630">
        <f ca="1">IF(AND($D24="Serviço",AJ$12&lt;&gt;0,$H24&gt;0,OR(AUTOEVENTO&lt;&gt;"manual",$M24&lt;&gt;1)),
IF(Import.TipoArredondamento&lt;&gt;"TransfereGOV",
ROUND(OFFSET($P24,0,AJ$13),15-13*ORÇAMENTO!$AF$7)/$H24*OFFSET(ORÇAMENTO!$X$15,ROW(AJ24)-ROW(AJ$15),0),
ROUND(ROUND(OFFSET($P24,0,AJ$13),15-13*ORÇAMENTO!$AF$7)*OFFSET(ORÇAMENTO!$W$15,ROW(AJ24)-ROW(AJ$15),0),15-13*ORÇAMENTO!$AF$11)),0)</f>
        <v>0</v>
      </c>
      <c r="AK24" s="631">
        <f ca="1">IF(AND($D24="Serviço",AK$12&lt;&gt;0,$H24&gt;0,OR(AUTOEVENTO&lt;&gt;"manual",$M24&lt;&gt;1)),
IF(Import.TipoArredondamento&lt;&gt;"TransfereGOV",
ROUND(OFFSET($P24,0,AK$13),15-13*ORÇAMENTO!$AF$7)/$H24*OFFSET(ORÇAMENTO!$X$15,ROW(AK24)-ROW(AK$15),0),
ROUND(ROUND(OFFSET($P24,0,AK$13),15-13*ORÇAMENTO!$AF$7)*OFFSET(ORÇAMENTO!$W$15,ROW(AK24)-ROW(AK$15),0),15-13*ORÇAMENTO!$AF$11)),0)</f>
        <v>0</v>
      </c>
      <c r="AL24" s="631">
        <f ca="1">IF(AND($D24="Serviço",AL$12&lt;&gt;0,$H24&gt;0,OR(AUTOEVENTO&lt;&gt;"manual",$M24&lt;&gt;1)),
IF(Import.TipoArredondamento&lt;&gt;"TransfereGOV",
ROUND(OFFSET($P24,0,AL$13),15-13*ORÇAMENTO!$AF$7)/$H24*OFFSET(ORÇAMENTO!$X$15,ROW(AL24)-ROW(AL$15),0),
ROUND(ROUND(OFFSET($P24,0,AL$13),15-13*ORÇAMENTO!$AF$7)*OFFSET(ORÇAMENTO!$W$15,ROW(AL24)-ROW(AL$15),0),15-13*ORÇAMENTO!$AF$11)),0)</f>
        <v>0</v>
      </c>
      <c r="AM24" s="631">
        <f ca="1">IF(AND($D24="Serviço",AM$12&lt;&gt;0,$H24&gt;0,OR(AUTOEVENTO&lt;&gt;"manual",$M24&lt;&gt;1)),
IF(Import.TipoArredondamento&lt;&gt;"TransfereGOV",
ROUND(OFFSET($P24,0,AM$13),15-13*ORÇAMENTO!$AF$7)/$H24*OFFSET(ORÇAMENTO!$X$15,ROW(AM24)-ROW(AM$15),0),
ROUND(ROUND(OFFSET($P24,0,AM$13),15-13*ORÇAMENTO!$AF$7)*OFFSET(ORÇAMENTO!$W$15,ROW(AM24)-ROW(AM$15),0),15-13*ORÇAMENTO!$AF$11)),0)</f>
        <v>0</v>
      </c>
      <c r="AN24" s="631">
        <f ca="1">IF(AND($D24="Serviço",AN$12&lt;&gt;0,$H24&gt;0,OR(AUTOEVENTO&lt;&gt;"manual",$M24&lt;&gt;1)),
IF(Import.TipoArredondamento&lt;&gt;"TransfereGOV",
ROUND(OFFSET($P24,0,AN$13),15-13*ORÇAMENTO!$AF$7)/$H24*OFFSET(ORÇAMENTO!$X$15,ROW(AN24)-ROW(AN$15),0),
ROUND(ROUND(OFFSET($P24,0,AN$13),15-13*ORÇAMENTO!$AF$7)*OFFSET(ORÇAMENTO!$W$15,ROW(AN24)-ROW(AN$15),0),15-13*ORÇAMENTO!$AF$11)),0)</f>
        <v>0</v>
      </c>
      <c r="AO24" s="631">
        <f ca="1">IF(AND($D24="Serviço",AO$12&lt;&gt;0,$H24&gt;0,OR(AUTOEVENTO&lt;&gt;"manual",$M24&lt;&gt;1)),
IF(Import.TipoArredondamento&lt;&gt;"TransfereGOV",
ROUND(OFFSET($P24,0,AO$13),15-13*ORÇAMENTO!$AF$7)/$H24*OFFSET(ORÇAMENTO!$X$15,ROW(AO24)-ROW(AO$15),0),
ROUND(ROUND(OFFSET($P24,0,AO$13),15-13*ORÇAMENTO!$AF$7)*OFFSET(ORÇAMENTO!$W$15,ROW(AO24)-ROW(AO$15),0),15-13*ORÇAMENTO!$AF$11)),0)</f>
        <v>0</v>
      </c>
      <c r="AP24" s="631">
        <f ca="1">IF(AND($D24="Serviço",AP$12&lt;&gt;0,$H24&gt;0,OR(AUTOEVENTO&lt;&gt;"manual",$M24&lt;&gt;1)),
IF(Import.TipoArredondamento&lt;&gt;"TransfereGOV",
ROUND(OFFSET($P24,0,AP$13),15-13*ORÇAMENTO!$AF$7)/$H24*OFFSET(ORÇAMENTO!$X$15,ROW(AP24)-ROW(AP$15),0),
ROUND(ROUND(OFFSET($P24,0,AP$13),15-13*ORÇAMENTO!$AF$7)*OFFSET(ORÇAMENTO!$W$15,ROW(AP24)-ROW(AP$15),0),15-13*ORÇAMENTO!$AF$11)),0)</f>
        <v>0</v>
      </c>
      <c r="AQ24" s="631">
        <f ca="1">IF(AND($D24="Serviço",AQ$12&lt;&gt;0,$H24&gt;0,OR(AUTOEVENTO&lt;&gt;"manual",$M24&lt;&gt;1)),
IF(Import.TipoArredondamento&lt;&gt;"TransfereGOV",
ROUND(OFFSET($P24,0,AQ$13),15-13*ORÇAMENTO!$AF$7)/$H24*OFFSET(ORÇAMENTO!$X$15,ROW(AQ24)-ROW(AQ$15),0),
ROUND(ROUND(OFFSET($P24,0,AQ$13),15-13*ORÇAMENTO!$AF$7)*OFFSET(ORÇAMENTO!$W$15,ROW(AQ24)-ROW(AQ$15),0),15-13*ORÇAMENTO!$AF$11)),0)</f>
        <v>0</v>
      </c>
      <c r="AR24" s="631">
        <f ca="1">IF(AND($D24="Serviço",AR$12&lt;&gt;0,$H24&gt;0,OR(AUTOEVENTO&lt;&gt;"manual",$M24&lt;&gt;1)),
IF(Import.TipoArredondamento&lt;&gt;"TransfereGOV",
ROUND(OFFSET($P24,0,AR$13),15-13*ORÇAMENTO!$AF$7)/$H24*OFFSET(ORÇAMENTO!$X$15,ROW(AR24)-ROW(AR$15),0),
ROUND(ROUND(OFFSET($P24,0,AR$13),15-13*ORÇAMENTO!$AF$7)*OFFSET(ORÇAMENTO!$W$15,ROW(AR24)-ROW(AR$15),0),15-13*ORÇAMENTO!$AF$11)),0)</f>
        <v>0</v>
      </c>
      <c r="AS24" s="632">
        <f ca="1">IF(AND($D24="Serviço",AS$12&lt;&gt;0,$H24&gt;0,OR(AUTOEVENTO&lt;&gt;"manual",$M24&lt;&gt;1)),
IF(Import.TipoArredondamento&lt;&gt;"TransfereGOV",
ROUND(OFFSET($P24,0,AS$13),15-13*ORÇAMENTO!$AF$7)/$H24*OFFSET(ORÇAMENTO!$X$15,ROW(AS24)-ROW(AS$15),0),
ROUND(ROUND(OFFSET($P24,0,AS$13),15-13*ORÇAMENTO!$AF$7)*OFFSET(ORÇAMENTO!$W$15,ROW(AS24)-ROW(AS$15),0),15-13*ORÇAMENTO!$AF$11)),0)</f>
        <v>0</v>
      </c>
      <c r="AT24" s="631">
        <f ca="1">IF(AND($D24="Serviço",AT$12&lt;&gt;0,$H24&gt;0,OR(AUTOEVENTO&lt;&gt;"manual",$M24&lt;&gt;1)),
IF(Import.TipoArredondamento&lt;&gt;"TransfereGOV",
ROUND(OFFSET($P24,0,AT$13),15-13*ORÇAMENTO!$AF$7)/$H24*OFFSET(ORÇAMENTO!$X$15,ROW(AT24)-ROW(AT$15),0),
ROUND(ROUND(OFFSET($P24,0,AT$13),15-13*ORÇAMENTO!$AF$7)*OFFSET(ORÇAMENTO!$W$15,ROW(AT24)-ROW(AT$15),0),15-13*ORÇAMENTO!$AF$11)),0)</f>
        <v>0</v>
      </c>
      <c r="AU24" s="631">
        <f ca="1">IF(AND($D24="Serviço",AU$12&lt;&gt;0,$H24&gt;0,OR(AUTOEVENTO&lt;&gt;"manual",$M24&lt;&gt;1)),
IF(Import.TipoArredondamento&lt;&gt;"TransfereGOV",
ROUND(OFFSET($P24,0,AU$13),15-13*ORÇAMENTO!$AF$7)/$H24*OFFSET(ORÇAMENTO!$X$15,ROW(AU24)-ROW(AU$15),0),
ROUND(ROUND(OFFSET($P24,0,AU$13),15-13*ORÇAMENTO!$AF$7)*OFFSET(ORÇAMENTO!$W$15,ROW(AU24)-ROW(AU$15),0),15-13*ORÇAMENTO!$AF$11)),0)</f>
        <v>0</v>
      </c>
      <c r="AV24" s="631">
        <f ca="1">IF(AND($D24="Serviço",AV$12&lt;&gt;0,$H24&gt;0,OR(AUTOEVENTO&lt;&gt;"manual",$M24&lt;&gt;1)),
IF(Import.TipoArredondamento&lt;&gt;"TransfereGOV",
ROUND(OFFSET($P24,0,AV$13),15-13*ORÇAMENTO!$AF$7)/$H24*OFFSET(ORÇAMENTO!$X$15,ROW(AV24)-ROW(AV$15),0),
ROUND(ROUND(OFFSET($P24,0,AV$13),15-13*ORÇAMENTO!$AF$7)*OFFSET(ORÇAMENTO!$W$15,ROW(AV24)-ROW(AV$15),0),15-13*ORÇAMENTO!$AF$11)),0)</f>
        <v>0</v>
      </c>
      <c r="AW24" s="631">
        <f ca="1">IF(AND($D24="Serviço",AW$12&lt;&gt;0,$H24&gt;0,OR(AUTOEVENTO&lt;&gt;"manual",$M24&lt;&gt;1)),
IF(Import.TipoArredondamento&lt;&gt;"TransfereGOV",
ROUND(OFFSET($P24,0,AW$13),15-13*ORÇAMENTO!$AF$7)/$H24*OFFSET(ORÇAMENTO!$X$15,ROW(AW24)-ROW(AW$15),0),
ROUND(ROUND(OFFSET($P24,0,AW$13),15-13*ORÇAMENTO!$AF$7)*OFFSET(ORÇAMENTO!$W$15,ROW(AW24)-ROW(AW$15),0),15-13*ORÇAMENTO!$AF$11)),0)</f>
        <v>0</v>
      </c>
      <c r="AX24" s="631">
        <f ca="1">IF(AND($D24="Serviço",AX$12&lt;&gt;0,$H24&gt;0,OR(AUTOEVENTO&lt;&gt;"manual",$M24&lt;&gt;1)),
IF(Import.TipoArredondamento&lt;&gt;"TransfereGOV",
ROUND(OFFSET($P24,0,AX$13),15-13*ORÇAMENTO!$AF$7)/$H24*OFFSET(ORÇAMENTO!$X$15,ROW(AX24)-ROW(AX$15),0),
ROUND(ROUND(OFFSET($P24,0,AX$13),15-13*ORÇAMENTO!$AF$7)*OFFSET(ORÇAMENTO!$W$15,ROW(AX24)-ROW(AX$15),0),15-13*ORÇAMENTO!$AF$11)),0)</f>
        <v>0</v>
      </c>
      <c r="AY24" s="631">
        <f ca="1">IF(AND($D24="Serviço",AY$12&lt;&gt;0,$H24&gt;0,OR(AUTOEVENTO&lt;&gt;"manual",$M24&lt;&gt;1)),
IF(Import.TipoArredondamento&lt;&gt;"TransfereGOV",
ROUND(OFFSET($P24,0,AY$13),15-13*ORÇAMENTO!$AF$7)/$H24*OFFSET(ORÇAMENTO!$X$15,ROW(AY24)-ROW(AY$15),0),
ROUND(ROUND(OFFSET($P24,0,AY$13),15-13*ORÇAMENTO!$AF$7)*OFFSET(ORÇAMENTO!$W$15,ROW(AY24)-ROW(AY$15),0),15-13*ORÇAMENTO!$AF$11)),0)</f>
        <v>0</v>
      </c>
      <c r="AZ24" s="631">
        <f ca="1">IF(AND($D24="Serviço",AZ$12&lt;&gt;0,$H24&gt;0,OR(AUTOEVENTO&lt;&gt;"manual",$M24&lt;&gt;1)),
IF(Import.TipoArredondamento&lt;&gt;"TransfereGOV",
ROUND(OFFSET($P24,0,AZ$13),15-13*ORÇAMENTO!$AF$7)/$H24*OFFSET(ORÇAMENTO!$X$15,ROW(AZ24)-ROW(AZ$15),0),
ROUND(ROUND(OFFSET($P24,0,AZ$13),15-13*ORÇAMENTO!$AF$7)*OFFSET(ORÇAMENTO!$W$15,ROW(AZ24)-ROW(AZ$15),0),15-13*ORÇAMENTO!$AF$11)),0)</f>
        <v>0</v>
      </c>
      <c r="BA24" s="632">
        <f ca="1">IF(AND($D24="Serviço",BA$12&lt;&gt;0,$H24&gt;0,OR(AUTOEVENTO&lt;&gt;"manual",$M24&lt;&gt;1)),
IF(Import.TipoArredondamento&lt;&gt;"TransfereGOV",
ROUND(OFFSET($P24,0,BA$13),15-13*ORÇAMENTO!$AF$7)/$H24*OFFSET(ORÇAMENTO!$X$15,ROW(BA24)-ROW(BA$15),0),
ROUND(ROUND(OFFSET($P24,0,BA$13),15-13*ORÇAMENTO!$AF$7)*OFFSET(ORÇAMENTO!$W$15,ROW(BA24)-ROW(BA$15),0),15-13*ORÇAMENTO!$AF$11)),0)</f>
        <v>0</v>
      </c>
      <c r="BC24" s="216">
        <f ca="1">IF($D24&lt;&gt;"Serviço",0,IF(AND(AUTOEVENTO="Manual",$M24=1),0,IF(OFFSET(CRONOPLE!$F$14,$M24,BC$13)="",10^12,OFFSET(CRONOPLE!$F$14,$M24,BC$13))))</f>
        <v>1</v>
      </c>
      <c r="BD24" s="216">
        <f ca="1">IF($D24&lt;&gt;"Serviço",0,IF(AND(AUTOEVENTO="Manual",$M24=1),0,IF(OFFSET(CRONOPLE!$F$14,$M24,BD$13)="",10^12,OFFSET(CRONOPLE!$F$14,$M24,BD$13))))</f>
        <v>1</v>
      </c>
      <c r="BE24" s="216">
        <f ca="1">IF($D24&lt;&gt;"Serviço",0,IF(AND(AUTOEVENTO="Manual",$M24=1),0,IF(OFFSET(CRONOPLE!$F$14,$M24,BE$13)="",10^12,OFFSET(CRONOPLE!$F$14,$M24,BE$13))))</f>
        <v>2</v>
      </c>
      <c r="BF24" s="216">
        <f ca="1">IF($D24&lt;&gt;"Serviço",0,IF(AND(AUTOEVENTO="Manual",$M24=1),0,IF(OFFSET(CRONOPLE!$F$14,$M24,BF$13)="",10^12,OFFSET(CRONOPLE!$F$14,$M24,BF$13))))</f>
        <v>2</v>
      </c>
      <c r="BG24" s="216">
        <f ca="1">IF($D24&lt;&gt;"Serviço",0,IF(AND(AUTOEVENTO="Manual",$M24=1),0,IF(OFFSET(CRONOPLE!$F$14,$M24,BG$13)="",10^12,OFFSET(CRONOPLE!$F$14,$M24,BG$13))))</f>
        <v>3</v>
      </c>
      <c r="BH24" s="216">
        <f ca="1">IF($D24&lt;&gt;"Serviço",0,IF(AND(AUTOEVENTO="Manual",$M24=1),0,IF(OFFSET(CRONOPLE!$F$14,$M24,BH$13)="",10^12,OFFSET(CRONOPLE!$F$14,$M24,BH$13))))</f>
        <v>4</v>
      </c>
      <c r="BI24" s="216">
        <f ca="1">IF($D24&lt;&gt;"Serviço",0,IF(AND(AUTOEVENTO="Manual",$M24=1),0,IF(OFFSET(CRONOPLE!$F$14,$M24,BI$13)="",10^12,OFFSET(CRONOPLE!$F$14,$M24,BI$13))))</f>
        <v>4</v>
      </c>
      <c r="BJ24" s="216">
        <f ca="1">IF($D24&lt;&gt;"Serviço",0,IF(AND(AUTOEVENTO="Manual",$M24=1),0,IF(OFFSET(CRONOPLE!$F$14,$M24,BJ$13)="",10^12,OFFSET(CRONOPLE!$F$14,$M24,BJ$13))))</f>
        <v>4</v>
      </c>
      <c r="BK24" s="216">
        <f ca="1">IF($D24&lt;&gt;"Serviço",0,IF(AND(AUTOEVENTO="Manual",$M24=1),0,IF(OFFSET(CRONOPLE!$F$14,$M24,BK$13)="",10^12,OFFSET(CRONOPLE!$F$14,$M24,BK$13))))</f>
        <v>5</v>
      </c>
      <c r="BL24" s="216">
        <f ca="1">IF($D24&lt;&gt;"Serviço",0,IF(AND(AUTOEVENTO="Manual",$M24=1),0,IF(OFFSET(CRONOPLE!$F$14,$M24,BL$13)="",10^12,OFFSET(CRONOPLE!$F$14,$M24,BL$13))))</f>
        <v>5</v>
      </c>
      <c r="BM24" s="216">
        <f ca="1">IF($D24&lt;&gt;"Serviço",0,IF(AND(AUTOEVENTO="Manual",$M24=1),0,IF(OFFSET(CRONOPLE!$F$14,$M24,BM$13)="",10^12,OFFSET(CRONOPLE!$F$14,$M24,BM$13))))</f>
        <v>6</v>
      </c>
      <c r="BN24" s="216">
        <f ca="1">IF($D24&lt;&gt;"Serviço",0,IF(AND(AUTOEVENTO="Manual",$M24=1),0,IF(OFFSET(CRONOPLE!$F$14,$M24,BN$13)="",10^12,OFFSET(CRONOPLE!$F$14,$M24,BN$13))))</f>
        <v>6</v>
      </c>
      <c r="BO24" s="216">
        <f ca="1">IF($D24&lt;&gt;"Serviço",0,IF(AND(AUTOEVENTO="Manual",$M24=1),0,IF(OFFSET(CRONOPLE!$F$14,$M24,BO$13)="",10^12,OFFSET(CRONOPLE!$F$14,$M24,BO$13))))</f>
        <v>6</v>
      </c>
      <c r="BP24" s="216">
        <f ca="1">IF($D24&lt;&gt;"Serviço",0,IF(AND(AUTOEVENTO="Manual",$M24=1),0,IF(OFFSET(CRONOPLE!$F$14,$M24,BP$13)="",10^12,OFFSET(CRONOPLE!$F$14,$M24,BP$13))))</f>
        <v>1000000000000</v>
      </c>
      <c r="BQ24" s="216">
        <f ca="1">IF($D24&lt;&gt;"Serviço",0,IF(AND(AUTOEVENTO="Manual",$M24=1),0,IF(OFFSET(CRONOPLE!$F$14,$M24,BQ$13)="",10^12,OFFSET(CRONOPLE!$F$14,$M24,BQ$13))))</f>
        <v>1000000000000</v>
      </c>
      <c r="BR24" s="216">
        <f ca="1">IF($D24&lt;&gt;"Serviço",0,IF(AND(AUTOEVENTO="Manual",$M24=1),0,IF(OFFSET(CRONOPLE!$F$14,$M24,BR$13)="",10^12,OFFSET(CRONOPLE!$F$14,$M24,BR$13))))</f>
        <v>1000000000000</v>
      </c>
      <c r="BS24" s="216">
        <f ca="1">IF($D24&lt;&gt;"Serviço",0,IF(AND(AUTOEVENTO="Manual",$M24=1),0,IF(OFFSET(CRONOPLE!$F$14,$M24,BS$13)="",10^12,OFFSET(CRONOPLE!$F$14,$M24,BS$13))))</f>
        <v>1000000000000</v>
      </c>
      <c r="BT24" s="216">
        <f ca="1">IF($D24&lt;&gt;"Serviço",0,IF(AND(AUTOEVENTO="Manual",$M24=1),0,IF(OFFSET(CRONOPLE!$F$14,$M24,BT$13)="",10^12,OFFSET(CRONOPLE!$F$14,$M24,BT$13))))</f>
        <v>1000000000000</v>
      </c>
      <c r="BV24" s="217">
        <f ca="1">IF($D24&lt;&gt;"Serviço",0,IF(OR(AND(AUTOEVENTO="Manual",$M24=1),$M24&gt;(ROW(PLE.lastrow)-ROW(PLE.firstrow))),0,IF(OFFSET(PLE!$G$14,$M24,BV$13)="",10^12,OFFSET(PLE!$G$14,$M24,BV$13))))</f>
        <v>1000000000000</v>
      </c>
      <c r="BW24" s="217">
        <f ca="1">IF($D24&lt;&gt;"Serviço",0,IF(OR(AND(AUTOEVENTO="Manual",$M24=1),$M24&gt;(ROW(PLE.lastrow)-ROW(PLE.firstrow))),0,IF(OFFSET(PLE!$G$14,$M24,BW$13)="",10^12,OFFSET(PLE!$G$14,$M24,BW$13))))</f>
        <v>1000000000000</v>
      </c>
      <c r="BX24" s="217">
        <f ca="1">IF($D24&lt;&gt;"Serviço",0,IF(OR(AND(AUTOEVENTO="Manual",$M24=1),$M24&gt;(ROW(PLE.lastrow)-ROW(PLE.firstrow))),0,IF(OFFSET(PLE!$G$14,$M24,BX$13)="",10^12,OFFSET(PLE!$G$14,$M24,BX$13))))</f>
        <v>1000000000000</v>
      </c>
      <c r="BY24" s="217">
        <f ca="1">IF($D24&lt;&gt;"Serviço",0,IF(OR(AND(AUTOEVENTO="Manual",$M24=1),$M24&gt;(ROW(PLE.lastrow)-ROW(PLE.firstrow))),0,IF(OFFSET(PLE!$G$14,$M24,BY$13)="",10^12,OFFSET(PLE!$G$14,$M24,BY$13))))</f>
        <v>1000000000000</v>
      </c>
      <c r="BZ24" s="217">
        <f ca="1">IF($D24&lt;&gt;"Serviço",0,IF(OR(AND(AUTOEVENTO="Manual",$M24=1),$M24&gt;(ROW(PLE.lastrow)-ROW(PLE.firstrow))),0,IF(OFFSET(PLE!$G$14,$M24,BZ$13)="",10^12,OFFSET(PLE!$G$14,$M24,BZ$13))))</f>
        <v>1000000000000</v>
      </c>
      <c r="CA24" s="217">
        <f ca="1">IF($D24&lt;&gt;"Serviço",0,IF(OR(AND(AUTOEVENTO="Manual",$M24=1),$M24&gt;(ROW(PLE.lastrow)-ROW(PLE.firstrow))),0,IF(OFFSET(PLE!$G$14,$M24,CA$13)="",10^12,OFFSET(PLE!$G$14,$M24,CA$13))))</f>
        <v>1000000000000</v>
      </c>
      <c r="CB24" s="217">
        <f ca="1">IF($D24&lt;&gt;"Serviço",0,IF(OR(AND(AUTOEVENTO="Manual",$M24=1),$M24&gt;(ROW(PLE.lastrow)-ROW(PLE.firstrow))),0,IF(OFFSET(PLE!$G$14,$M24,CB$13)="",10^12,OFFSET(PLE!$G$14,$M24,CB$13))))</f>
        <v>1000000000000</v>
      </c>
      <c r="CC24" s="217">
        <f ca="1">IF($D24&lt;&gt;"Serviço",0,IF(OR(AND(AUTOEVENTO="Manual",$M24=1),$M24&gt;(ROW(PLE.lastrow)-ROW(PLE.firstrow))),0,IF(OFFSET(PLE!$G$14,$M24,CC$13)="",10^12,OFFSET(PLE!$G$14,$M24,CC$13))))</f>
        <v>1000000000000</v>
      </c>
      <c r="CD24" s="217">
        <f ca="1">IF($D24&lt;&gt;"Serviço",0,IF(OR(AND(AUTOEVENTO="Manual",$M24=1),$M24&gt;(ROW(PLE.lastrow)-ROW(PLE.firstrow))),0,IF(OFFSET(PLE!$G$14,$M24,CD$13)="",10^12,OFFSET(PLE!$G$14,$M24,CD$13))))</f>
        <v>1000000000000</v>
      </c>
      <c r="CE24" s="217">
        <f ca="1">IF($D24&lt;&gt;"Serviço",0,IF(OR(AND(AUTOEVENTO="Manual",$M24=1),$M24&gt;(ROW(PLE.lastrow)-ROW(PLE.firstrow))),0,IF(OFFSET(PLE!$G$14,$M24,CE$13)="",10^12,OFFSET(PLE!$G$14,$M24,CE$13))))</f>
        <v>1000000000000</v>
      </c>
      <c r="CF24" s="217">
        <f ca="1">IF($D24&lt;&gt;"Serviço",0,IF(OR(AND(AUTOEVENTO="Manual",$M24=1),$M24&gt;(ROW(PLE.lastrow)-ROW(PLE.firstrow))),0,IF(OFFSET(PLE!$G$14,$M24,CF$13)="",10^12,OFFSET(PLE!$G$14,$M24,CF$13))))</f>
        <v>1000000000000</v>
      </c>
      <c r="CG24" s="217">
        <f ca="1">IF($D24&lt;&gt;"Serviço",0,IF(OR(AND(AUTOEVENTO="Manual",$M24=1),$M24&gt;(ROW(PLE.lastrow)-ROW(PLE.firstrow))),0,IF(OFFSET(PLE!$G$14,$M24,CG$13)="",10^12,OFFSET(PLE!$G$14,$M24,CG$13))))</f>
        <v>1000000000000</v>
      </c>
      <c r="CH24" s="217">
        <f ca="1">IF($D24&lt;&gt;"Serviço",0,IF(OR(AND(AUTOEVENTO="Manual",$M24=1),$M24&gt;(ROW(PLE.lastrow)-ROW(PLE.firstrow))),0,IF(OFFSET(PLE!$G$14,$M24,CH$13)="",10^12,OFFSET(PLE!$G$14,$M24,CH$13))))</f>
        <v>1000000000000</v>
      </c>
      <c r="CI24" s="217">
        <f ca="1">IF($D24&lt;&gt;"Serviço",0,IF(OR(AND(AUTOEVENTO="Manual",$M24=1),$M24&gt;(ROW(PLE.lastrow)-ROW(PLE.firstrow))),0,IF(OFFSET(PLE!$G$14,$M24,CI$13)="",10^12,OFFSET(PLE!$G$14,$M24,CI$13))))</f>
        <v>1000000000000</v>
      </c>
      <c r="CJ24" s="217">
        <f ca="1">IF($D24&lt;&gt;"Serviço",0,IF(OR(AND(AUTOEVENTO="Manual",$M24=1),$M24&gt;(ROW(PLE.lastrow)-ROW(PLE.firstrow))),0,IF(OFFSET(PLE!$G$14,$M24,CJ$13)="",10^12,OFFSET(PLE!$G$14,$M24,CJ$13))))</f>
        <v>1000000000000</v>
      </c>
      <c r="CK24" s="217">
        <f ca="1">IF($D24&lt;&gt;"Serviço",0,IF(OR(AND(AUTOEVENTO="Manual",$M24=1),$M24&gt;(ROW(PLE.lastrow)-ROW(PLE.firstrow))),0,IF(OFFSET(PLE!$G$14,$M24,CK$13)="",10^12,OFFSET(PLE!$G$14,$M24,CK$13))))</f>
        <v>1000000000000</v>
      </c>
      <c r="CL24" s="217">
        <f ca="1">IF($D24&lt;&gt;"Serviço",0,IF(OR(AND(AUTOEVENTO="Manual",$M24=1),$M24&gt;(ROW(PLE.lastrow)-ROW(PLE.firstrow))),0,IF(OFFSET(PLE!$G$14,$M24,CL$13)="",10^12,OFFSET(PLE!$G$14,$M24,CL$13))))</f>
        <v>1000000000000</v>
      </c>
      <c r="CM24" s="217">
        <f ca="1">IF($D24&lt;&gt;"Serviço",0,IF(OR(AND(AUTOEVENTO="Manual",$M24=1),$M24&gt;(ROW(PLE.lastrow)-ROW(PLE.firstrow))),0,IF(OFFSET(PLE!$G$14,$M24,CM$13)="",10^12,OFFSET(PLE!$G$14,$M24,CM$13))))</f>
        <v>1000000000000</v>
      </c>
    </row>
    <row r="25" spans="1:91" ht="25.5" x14ac:dyDescent="0.2">
      <c r="A25" s="9" t="str">
        <f t="shared" ca="1" si="9"/>
        <v>5</v>
      </c>
      <c r="B25" s="9" t="str">
        <f ca="1">OFFSET(ORÇAMENTO!C$15,ROW(B25)-ROW(B$15),0)</f>
        <v>S</v>
      </c>
      <c r="C25" s="9" t="str">
        <f ca="1">OFFSET(ORÇAMENTO!L$15,ROW(C25)-ROW(C$15),0)</f>
        <v/>
      </c>
      <c r="D25" s="146" t="str">
        <f ca="1">OFFSET(ORÇAMENTO!N$15,ROW(D25)-ROW(D$15),0)</f>
        <v>Serviço</v>
      </c>
      <c r="E25" s="206" t="str">
        <f ca="1">OFFSET(ORÇAMENTO!O$15,ROW(E25)-ROW(E$15),0)</f>
        <v>-</v>
      </c>
      <c r="F25" s="207" t="str">
        <f ca="1">OFFSET(ORÇAMENTO!R$15,ROW(F25)-ROW(F$15),0)</f>
        <v>(abra o arquivo 'Referência 12-2023.xlsm)</v>
      </c>
      <c r="G25" s="208" t="str">
        <f ca="1">IF($D25&lt;&gt;"Serviço","",OFFSET(ORÇAMENTO!S$15,ROW(G25)-ROW(G$15),0))</f>
        <v>-</v>
      </c>
      <c r="H25" s="152">
        <f ca="1">IF($D25&lt;&gt;"Serviço",0,IF(ACOMPANHAMENTO="BM",ROUND(OFFSET(ORÇAMENTO!AJ$15,ROW(H25)-ROW(H$15),0),15-13*ORÇAMENTO!$AF$7),SUMPRODUCT(($Q$12:$AI$12&lt;&gt;"")*ROUND($Q25:$AI25,15-13*ORÇAMENTO!$AF$7))))</f>
        <v>31559.17</v>
      </c>
      <c r="I25" s="649" t="s">
        <v>504</v>
      </c>
      <c r="K25" s="209"/>
      <c r="L25" s="210" t="s">
        <v>255</v>
      </c>
      <c r="M25" s="211">
        <f ca="1">IF($D25&lt;&gt;"Serviço","",IF(AUTOEVENTO="manual",$A25,IF(ISERROR(MATCH($A25,$A$15:OFFSET($A25,-1,0),0)),MAX($M$15:OFFSET(M25,-1,0))+1,INDEX($M$15:OFFSET(M25,-1,0),MATCH($A25,$A$15:OFFSET($A25,-1,0),0)))))</f>
        <v>3</v>
      </c>
      <c r="N25" s="212" t="str">
        <f ca="1">IF($D25&lt;&gt;"Serviço","",IF(AUTOEVENTO="Manual",IF($A25=0,"&lt;-- defina o número do agrupador",OFFSET(EVENTOS!$D$14,$A25,0)),OFFSET($F$15,$A25,0)))</f>
        <v xml:space="preserve">TERRAPLANAGEM </v>
      </c>
      <c r="O25" s="213"/>
      <c r="Q25" s="213">
        <v>514.80999999999995</v>
      </c>
      <c r="R25" s="214">
        <v>2696.87</v>
      </c>
      <c r="S25" s="214">
        <v>1818.63</v>
      </c>
      <c r="T25" s="214">
        <v>4112.33</v>
      </c>
      <c r="U25" s="214">
        <v>8131.79</v>
      </c>
      <c r="V25" s="214">
        <v>449.6</v>
      </c>
      <c r="W25" s="214">
        <v>466.1</v>
      </c>
      <c r="X25" s="214">
        <v>4086.11</v>
      </c>
      <c r="Y25" s="215">
        <v>1549.53</v>
      </c>
      <c r="Z25" s="214">
        <v>4220.04</v>
      </c>
      <c r="AA25" s="214">
        <v>3184.02</v>
      </c>
      <c r="AB25" s="214">
        <v>329.34</v>
      </c>
      <c r="AC25" s="214"/>
      <c r="AD25" s="214"/>
      <c r="AE25" s="214"/>
      <c r="AF25" s="214"/>
      <c r="AG25" s="214"/>
      <c r="AH25" s="215"/>
      <c r="AJ25" s="630">
        <f ca="1">IF(AND($D25="Serviço",AJ$12&lt;&gt;0,$H25&gt;0,OR(AUTOEVENTO&lt;&gt;"manual",$M25&lt;&gt;1)),
IF(Import.TipoArredondamento&lt;&gt;"TransfereGOV",
ROUND(OFFSET($P25,0,AJ$13),15-13*ORÇAMENTO!$AF$7)/$H25*OFFSET(ORÇAMENTO!$X$15,ROW(AJ25)-ROW(AJ$15),0),
ROUND(ROUND(OFFSET($P25,0,AJ$13),15-13*ORÇAMENTO!$AF$7)*OFFSET(ORÇAMENTO!$W$15,ROW(AJ25)-ROW(AJ$15),0),15-13*ORÇAMENTO!$AF$11)),0)</f>
        <v>0</v>
      </c>
      <c r="AK25" s="631">
        <f ca="1">IF(AND($D25="Serviço",AK$12&lt;&gt;0,$H25&gt;0,OR(AUTOEVENTO&lt;&gt;"manual",$M25&lt;&gt;1)),
IF(Import.TipoArredondamento&lt;&gt;"TransfereGOV",
ROUND(OFFSET($P25,0,AK$13),15-13*ORÇAMENTO!$AF$7)/$H25*OFFSET(ORÇAMENTO!$X$15,ROW(AK25)-ROW(AK$15),0),
ROUND(ROUND(OFFSET($P25,0,AK$13),15-13*ORÇAMENTO!$AF$7)*OFFSET(ORÇAMENTO!$W$15,ROW(AK25)-ROW(AK$15),0),15-13*ORÇAMENTO!$AF$11)),0)</f>
        <v>0</v>
      </c>
      <c r="AL25" s="631">
        <f ca="1">IF(AND($D25="Serviço",AL$12&lt;&gt;0,$H25&gt;0,OR(AUTOEVENTO&lt;&gt;"manual",$M25&lt;&gt;1)),
IF(Import.TipoArredondamento&lt;&gt;"TransfereGOV",
ROUND(OFFSET($P25,0,AL$13),15-13*ORÇAMENTO!$AF$7)/$H25*OFFSET(ORÇAMENTO!$X$15,ROW(AL25)-ROW(AL$15),0),
ROUND(ROUND(OFFSET($P25,0,AL$13),15-13*ORÇAMENTO!$AF$7)*OFFSET(ORÇAMENTO!$W$15,ROW(AL25)-ROW(AL$15),0),15-13*ORÇAMENTO!$AF$11)),0)</f>
        <v>0</v>
      </c>
      <c r="AM25" s="631">
        <f ca="1">IF(AND($D25="Serviço",AM$12&lt;&gt;0,$H25&gt;0,OR(AUTOEVENTO&lt;&gt;"manual",$M25&lt;&gt;1)),
IF(Import.TipoArredondamento&lt;&gt;"TransfereGOV",
ROUND(OFFSET($P25,0,AM$13),15-13*ORÇAMENTO!$AF$7)/$H25*OFFSET(ORÇAMENTO!$X$15,ROW(AM25)-ROW(AM$15),0),
ROUND(ROUND(OFFSET($P25,0,AM$13),15-13*ORÇAMENTO!$AF$7)*OFFSET(ORÇAMENTO!$W$15,ROW(AM25)-ROW(AM$15),0),15-13*ORÇAMENTO!$AF$11)),0)</f>
        <v>0</v>
      </c>
      <c r="AN25" s="631">
        <f ca="1">IF(AND($D25="Serviço",AN$12&lt;&gt;0,$H25&gt;0,OR(AUTOEVENTO&lt;&gt;"manual",$M25&lt;&gt;1)),
IF(Import.TipoArredondamento&lt;&gt;"TransfereGOV",
ROUND(OFFSET($P25,0,AN$13),15-13*ORÇAMENTO!$AF$7)/$H25*OFFSET(ORÇAMENTO!$X$15,ROW(AN25)-ROW(AN$15),0),
ROUND(ROUND(OFFSET($P25,0,AN$13),15-13*ORÇAMENTO!$AF$7)*OFFSET(ORÇAMENTO!$W$15,ROW(AN25)-ROW(AN$15),0),15-13*ORÇAMENTO!$AF$11)),0)</f>
        <v>0</v>
      </c>
      <c r="AO25" s="631">
        <f ca="1">IF(AND($D25="Serviço",AO$12&lt;&gt;0,$H25&gt;0,OR(AUTOEVENTO&lt;&gt;"manual",$M25&lt;&gt;1)),
IF(Import.TipoArredondamento&lt;&gt;"TransfereGOV",
ROUND(OFFSET($P25,0,AO$13),15-13*ORÇAMENTO!$AF$7)/$H25*OFFSET(ORÇAMENTO!$X$15,ROW(AO25)-ROW(AO$15),0),
ROUND(ROUND(OFFSET($P25,0,AO$13),15-13*ORÇAMENTO!$AF$7)*OFFSET(ORÇAMENTO!$W$15,ROW(AO25)-ROW(AO$15),0),15-13*ORÇAMENTO!$AF$11)),0)</f>
        <v>0</v>
      </c>
      <c r="AP25" s="631">
        <f ca="1">IF(AND($D25="Serviço",AP$12&lt;&gt;0,$H25&gt;0,OR(AUTOEVENTO&lt;&gt;"manual",$M25&lt;&gt;1)),
IF(Import.TipoArredondamento&lt;&gt;"TransfereGOV",
ROUND(OFFSET($P25,0,AP$13),15-13*ORÇAMENTO!$AF$7)/$H25*OFFSET(ORÇAMENTO!$X$15,ROW(AP25)-ROW(AP$15),0),
ROUND(ROUND(OFFSET($P25,0,AP$13),15-13*ORÇAMENTO!$AF$7)*OFFSET(ORÇAMENTO!$W$15,ROW(AP25)-ROW(AP$15),0),15-13*ORÇAMENTO!$AF$11)),0)</f>
        <v>0</v>
      </c>
      <c r="AQ25" s="631">
        <f ca="1">IF(AND($D25="Serviço",AQ$12&lt;&gt;0,$H25&gt;0,OR(AUTOEVENTO&lt;&gt;"manual",$M25&lt;&gt;1)),
IF(Import.TipoArredondamento&lt;&gt;"TransfereGOV",
ROUND(OFFSET($P25,0,AQ$13),15-13*ORÇAMENTO!$AF$7)/$H25*OFFSET(ORÇAMENTO!$X$15,ROW(AQ25)-ROW(AQ$15),0),
ROUND(ROUND(OFFSET($P25,0,AQ$13),15-13*ORÇAMENTO!$AF$7)*OFFSET(ORÇAMENTO!$W$15,ROW(AQ25)-ROW(AQ$15),0),15-13*ORÇAMENTO!$AF$11)),0)</f>
        <v>0</v>
      </c>
      <c r="AR25" s="631">
        <f ca="1">IF(AND($D25="Serviço",AR$12&lt;&gt;0,$H25&gt;0,OR(AUTOEVENTO&lt;&gt;"manual",$M25&lt;&gt;1)),
IF(Import.TipoArredondamento&lt;&gt;"TransfereGOV",
ROUND(OFFSET($P25,0,AR$13),15-13*ORÇAMENTO!$AF$7)/$H25*OFFSET(ORÇAMENTO!$X$15,ROW(AR25)-ROW(AR$15),0),
ROUND(ROUND(OFFSET($P25,0,AR$13),15-13*ORÇAMENTO!$AF$7)*OFFSET(ORÇAMENTO!$W$15,ROW(AR25)-ROW(AR$15),0),15-13*ORÇAMENTO!$AF$11)),0)</f>
        <v>0</v>
      </c>
      <c r="AS25" s="632">
        <f ca="1">IF(AND($D25="Serviço",AS$12&lt;&gt;0,$H25&gt;0,OR(AUTOEVENTO&lt;&gt;"manual",$M25&lt;&gt;1)),
IF(Import.TipoArredondamento&lt;&gt;"TransfereGOV",
ROUND(OFFSET($P25,0,AS$13),15-13*ORÇAMENTO!$AF$7)/$H25*OFFSET(ORÇAMENTO!$X$15,ROW(AS25)-ROW(AS$15),0),
ROUND(ROUND(OFFSET($P25,0,AS$13),15-13*ORÇAMENTO!$AF$7)*OFFSET(ORÇAMENTO!$W$15,ROW(AS25)-ROW(AS$15),0),15-13*ORÇAMENTO!$AF$11)),0)</f>
        <v>0</v>
      </c>
      <c r="AT25" s="631">
        <f ca="1">IF(AND($D25="Serviço",AT$12&lt;&gt;0,$H25&gt;0,OR(AUTOEVENTO&lt;&gt;"manual",$M25&lt;&gt;1)),
IF(Import.TipoArredondamento&lt;&gt;"TransfereGOV",
ROUND(OFFSET($P25,0,AT$13),15-13*ORÇAMENTO!$AF$7)/$H25*OFFSET(ORÇAMENTO!$X$15,ROW(AT25)-ROW(AT$15),0),
ROUND(ROUND(OFFSET($P25,0,AT$13),15-13*ORÇAMENTO!$AF$7)*OFFSET(ORÇAMENTO!$W$15,ROW(AT25)-ROW(AT$15),0),15-13*ORÇAMENTO!$AF$11)),0)</f>
        <v>0</v>
      </c>
      <c r="AU25" s="631">
        <f ca="1">IF(AND($D25="Serviço",AU$12&lt;&gt;0,$H25&gt;0,OR(AUTOEVENTO&lt;&gt;"manual",$M25&lt;&gt;1)),
IF(Import.TipoArredondamento&lt;&gt;"TransfereGOV",
ROUND(OFFSET($P25,0,AU$13),15-13*ORÇAMENTO!$AF$7)/$H25*OFFSET(ORÇAMENTO!$X$15,ROW(AU25)-ROW(AU$15),0),
ROUND(ROUND(OFFSET($P25,0,AU$13),15-13*ORÇAMENTO!$AF$7)*OFFSET(ORÇAMENTO!$W$15,ROW(AU25)-ROW(AU$15),0),15-13*ORÇAMENTO!$AF$11)),0)</f>
        <v>0</v>
      </c>
      <c r="AV25" s="631">
        <f ca="1">IF(AND($D25="Serviço",AV$12&lt;&gt;0,$H25&gt;0,OR(AUTOEVENTO&lt;&gt;"manual",$M25&lt;&gt;1)),
IF(Import.TipoArredondamento&lt;&gt;"TransfereGOV",
ROUND(OFFSET($P25,0,AV$13),15-13*ORÇAMENTO!$AF$7)/$H25*OFFSET(ORÇAMENTO!$X$15,ROW(AV25)-ROW(AV$15),0),
ROUND(ROUND(OFFSET($P25,0,AV$13),15-13*ORÇAMENTO!$AF$7)*OFFSET(ORÇAMENTO!$W$15,ROW(AV25)-ROW(AV$15),0),15-13*ORÇAMENTO!$AF$11)),0)</f>
        <v>0</v>
      </c>
      <c r="AW25" s="631">
        <f ca="1">IF(AND($D25="Serviço",AW$12&lt;&gt;0,$H25&gt;0,OR(AUTOEVENTO&lt;&gt;"manual",$M25&lt;&gt;1)),
IF(Import.TipoArredondamento&lt;&gt;"TransfereGOV",
ROUND(OFFSET($P25,0,AW$13),15-13*ORÇAMENTO!$AF$7)/$H25*OFFSET(ORÇAMENTO!$X$15,ROW(AW25)-ROW(AW$15),0),
ROUND(ROUND(OFFSET($P25,0,AW$13),15-13*ORÇAMENTO!$AF$7)*OFFSET(ORÇAMENTO!$W$15,ROW(AW25)-ROW(AW$15),0),15-13*ORÇAMENTO!$AF$11)),0)</f>
        <v>0</v>
      </c>
      <c r="AX25" s="631">
        <f ca="1">IF(AND($D25="Serviço",AX$12&lt;&gt;0,$H25&gt;0,OR(AUTOEVENTO&lt;&gt;"manual",$M25&lt;&gt;1)),
IF(Import.TipoArredondamento&lt;&gt;"TransfereGOV",
ROUND(OFFSET($P25,0,AX$13),15-13*ORÇAMENTO!$AF$7)/$H25*OFFSET(ORÇAMENTO!$X$15,ROW(AX25)-ROW(AX$15),0),
ROUND(ROUND(OFFSET($P25,0,AX$13),15-13*ORÇAMENTO!$AF$7)*OFFSET(ORÇAMENTO!$W$15,ROW(AX25)-ROW(AX$15),0),15-13*ORÇAMENTO!$AF$11)),0)</f>
        <v>0</v>
      </c>
      <c r="AY25" s="631">
        <f ca="1">IF(AND($D25="Serviço",AY$12&lt;&gt;0,$H25&gt;0,OR(AUTOEVENTO&lt;&gt;"manual",$M25&lt;&gt;1)),
IF(Import.TipoArredondamento&lt;&gt;"TransfereGOV",
ROUND(OFFSET($P25,0,AY$13),15-13*ORÇAMENTO!$AF$7)/$H25*OFFSET(ORÇAMENTO!$X$15,ROW(AY25)-ROW(AY$15),0),
ROUND(ROUND(OFFSET($P25,0,AY$13),15-13*ORÇAMENTO!$AF$7)*OFFSET(ORÇAMENTO!$W$15,ROW(AY25)-ROW(AY$15),0),15-13*ORÇAMENTO!$AF$11)),0)</f>
        <v>0</v>
      </c>
      <c r="AZ25" s="631">
        <f ca="1">IF(AND($D25="Serviço",AZ$12&lt;&gt;0,$H25&gt;0,OR(AUTOEVENTO&lt;&gt;"manual",$M25&lt;&gt;1)),
IF(Import.TipoArredondamento&lt;&gt;"TransfereGOV",
ROUND(OFFSET($P25,0,AZ$13),15-13*ORÇAMENTO!$AF$7)/$H25*OFFSET(ORÇAMENTO!$X$15,ROW(AZ25)-ROW(AZ$15),0),
ROUND(ROUND(OFFSET($P25,0,AZ$13),15-13*ORÇAMENTO!$AF$7)*OFFSET(ORÇAMENTO!$W$15,ROW(AZ25)-ROW(AZ$15),0),15-13*ORÇAMENTO!$AF$11)),0)</f>
        <v>0</v>
      </c>
      <c r="BA25" s="632">
        <f ca="1">IF(AND($D25="Serviço",BA$12&lt;&gt;0,$H25&gt;0,OR(AUTOEVENTO&lt;&gt;"manual",$M25&lt;&gt;1)),
IF(Import.TipoArredondamento&lt;&gt;"TransfereGOV",
ROUND(OFFSET($P25,0,BA$13),15-13*ORÇAMENTO!$AF$7)/$H25*OFFSET(ORÇAMENTO!$X$15,ROW(BA25)-ROW(BA$15),0),
ROUND(ROUND(OFFSET($P25,0,BA$13),15-13*ORÇAMENTO!$AF$7)*OFFSET(ORÇAMENTO!$W$15,ROW(BA25)-ROW(BA$15),0),15-13*ORÇAMENTO!$AF$11)),0)</f>
        <v>0</v>
      </c>
      <c r="BC25" s="216">
        <f ca="1">IF($D25&lt;&gt;"Serviço",0,IF(AND(AUTOEVENTO="Manual",$M25=1),0,IF(OFFSET(CRONOPLE!$F$14,$M25,BC$13)="",10^12,OFFSET(CRONOPLE!$F$14,$M25,BC$13))))</f>
        <v>1</v>
      </c>
      <c r="BD25" s="216">
        <f ca="1">IF($D25&lt;&gt;"Serviço",0,IF(AND(AUTOEVENTO="Manual",$M25=1),0,IF(OFFSET(CRONOPLE!$F$14,$M25,BD$13)="",10^12,OFFSET(CRONOPLE!$F$14,$M25,BD$13))))</f>
        <v>1</v>
      </c>
      <c r="BE25" s="216">
        <f ca="1">IF($D25&lt;&gt;"Serviço",0,IF(AND(AUTOEVENTO="Manual",$M25=1),0,IF(OFFSET(CRONOPLE!$F$14,$M25,BE$13)="",10^12,OFFSET(CRONOPLE!$F$14,$M25,BE$13))))</f>
        <v>2</v>
      </c>
      <c r="BF25" s="216">
        <f ca="1">IF($D25&lt;&gt;"Serviço",0,IF(AND(AUTOEVENTO="Manual",$M25=1),0,IF(OFFSET(CRONOPLE!$F$14,$M25,BF$13)="",10^12,OFFSET(CRONOPLE!$F$14,$M25,BF$13))))</f>
        <v>2</v>
      </c>
      <c r="BG25" s="216">
        <f ca="1">IF($D25&lt;&gt;"Serviço",0,IF(AND(AUTOEVENTO="Manual",$M25=1),0,IF(OFFSET(CRONOPLE!$F$14,$M25,BG$13)="",10^12,OFFSET(CRONOPLE!$F$14,$M25,BG$13))))</f>
        <v>3</v>
      </c>
      <c r="BH25" s="216">
        <f ca="1">IF($D25&lt;&gt;"Serviço",0,IF(AND(AUTOEVENTO="Manual",$M25=1),0,IF(OFFSET(CRONOPLE!$F$14,$M25,BH$13)="",10^12,OFFSET(CRONOPLE!$F$14,$M25,BH$13))))</f>
        <v>4</v>
      </c>
      <c r="BI25" s="216">
        <f ca="1">IF($D25&lt;&gt;"Serviço",0,IF(AND(AUTOEVENTO="Manual",$M25=1),0,IF(OFFSET(CRONOPLE!$F$14,$M25,BI$13)="",10^12,OFFSET(CRONOPLE!$F$14,$M25,BI$13))))</f>
        <v>4</v>
      </c>
      <c r="BJ25" s="216">
        <f ca="1">IF($D25&lt;&gt;"Serviço",0,IF(AND(AUTOEVENTO="Manual",$M25=1),0,IF(OFFSET(CRONOPLE!$F$14,$M25,BJ$13)="",10^12,OFFSET(CRONOPLE!$F$14,$M25,BJ$13))))</f>
        <v>4</v>
      </c>
      <c r="BK25" s="216">
        <f ca="1">IF($D25&lt;&gt;"Serviço",0,IF(AND(AUTOEVENTO="Manual",$M25=1),0,IF(OFFSET(CRONOPLE!$F$14,$M25,BK$13)="",10^12,OFFSET(CRONOPLE!$F$14,$M25,BK$13))))</f>
        <v>5</v>
      </c>
      <c r="BL25" s="216">
        <f ca="1">IF($D25&lt;&gt;"Serviço",0,IF(AND(AUTOEVENTO="Manual",$M25=1),0,IF(OFFSET(CRONOPLE!$F$14,$M25,BL$13)="",10^12,OFFSET(CRONOPLE!$F$14,$M25,BL$13))))</f>
        <v>5</v>
      </c>
      <c r="BM25" s="216">
        <f ca="1">IF($D25&lt;&gt;"Serviço",0,IF(AND(AUTOEVENTO="Manual",$M25=1),0,IF(OFFSET(CRONOPLE!$F$14,$M25,BM$13)="",10^12,OFFSET(CRONOPLE!$F$14,$M25,BM$13))))</f>
        <v>6</v>
      </c>
      <c r="BN25" s="216">
        <f ca="1">IF($D25&lt;&gt;"Serviço",0,IF(AND(AUTOEVENTO="Manual",$M25=1),0,IF(OFFSET(CRONOPLE!$F$14,$M25,BN$13)="",10^12,OFFSET(CRONOPLE!$F$14,$M25,BN$13))))</f>
        <v>6</v>
      </c>
      <c r="BO25" s="216">
        <f ca="1">IF($D25&lt;&gt;"Serviço",0,IF(AND(AUTOEVENTO="Manual",$M25=1),0,IF(OFFSET(CRONOPLE!$F$14,$M25,BO$13)="",10^12,OFFSET(CRONOPLE!$F$14,$M25,BO$13))))</f>
        <v>6</v>
      </c>
      <c r="BP25" s="216">
        <f ca="1">IF($D25&lt;&gt;"Serviço",0,IF(AND(AUTOEVENTO="Manual",$M25=1),0,IF(OFFSET(CRONOPLE!$F$14,$M25,BP$13)="",10^12,OFFSET(CRONOPLE!$F$14,$M25,BP$13))))</f>
        <v>1000000000000</v>
      </c>
      <c r="BQ25" s="216">
        <f ca="1">IF($D25&lt;&gt;"Serviço",0,IF(AND(AUTOEVENTO="Manual",$M25=1),0,IF(OFFSET(CRONOPLE!$F$14,$M25,BQ$13)="",10^12,OFFSET(CRONOPLE!$F$14,$M25,BQ$13))))</f>
        <v>1000000000000</v>
      </c>
      <c r="BR25" s="216">
        <f ca="1">IF($D25&lt;&gt;"Serviço",0,IF(AND(AUTOEVENTO="Manual",$M25=1),0,IF(OFFSET(CRONOPLE!$F$14,$M25,BR$13)="",10^12,OFFSET(CRONOPLE!$F$14,$M25,BR$13))))</f>
        <v>1000000000000</v>
      </c>
      <c r="BS25" s="216">
        <f ca="1">IF($D25&lt;&gt;"Serviço",0,IF(AND(AUTOEVENTO="Manual",$M25=1),0,IF(OFFSET(CRONOPLE!$F$14,$M25,BS$13)="",10^12,OFFSET(CRONOPLE!$F$14,$M25,BS$13))))</f>
        <v>1000000000000</v>
      </c>
      <c r="BT25" s="216">
        <f ca="1">IF($D25&lt;&gt;"Serviço",0,IF(AND(AUTOEVENTO="Manual",$M25=1),0,IF(OFFSET(CRONOPLE!$F$14,$M25,BT$13)="",10^12,OFFSET(CRONOPLE!$F$14,$M25,BT$13))))</f>
        <v>1000000000000</v>
      </c>
      <c r="BV25" s="217">
        <f ca="1">IF($D25&lt;&gt;"Serviço",0,IF(OR(AND(AUTOEVENTO="Manual",$M25=1),$M25&gt;(ROW(PLE.lastrow)-ROW(PLE.firstrow))),0,IF(OFFSET(PLE!$G$14,$M25,BV$13)="",10^12,OFFSET(PLE!$G$14,$M25,BV$13))))</f>
        <v>1000000000000</v>
      </c>
      <c r="BW25" s="217">
        <f ca="1">IF($D25&lt;&gt;"Serviço",0,IF(OR(AND(AUTOEVENTO="Manual",$M25=1),$M25&gt;(ROW(PLE.lastrow)-ROW(PLE.firstrow))),0,IF(OFFSET(PLE!$G$14,$M25,BW$13)="",10^12,OFFSET(PLE!$G$14,$M25,BW$13))))</f>
        <v>1000000000000</v>
      </c>
      <c r="BX25" s="217">
        <f ca="1">IF($D25&lt;&gt;"Serviço",0,IF(OR(AND(AUTOEVENTO="Manual",$M25=1),$M25&gt;(ROW(PLE.lastrow)-ROW(PLE.firstrow))),0,IF(OFFSET(PLE!$G$14,$M25,BX$13)="",10^12,OFFSET(PLE!$G$14,$M25,BX$13))))</f>
        <v>1000000000000</v>
      </c>
      <c r="BY25" s="217">
        <f ca="1">IF($D25&lt;&gt;"Serviço",0,IF(OR(AND(AUTOEVENTO="Manual",$M25=1),$M25&gt;(ROW(PLE.lastrow)-ROW(PLE.firstrow))),0,IF(OFFSET(PLE!$G$14,$M25,BY$13)="",10^12,OFFSET(PLE!$G$14,$M25,BY$13))))</f>
        <v>1000000000000</v>
      </c>
      <c r="BZ25" s="217">
        <f ca="1">IF($D25&lt;&gt;"Serviço",0,IF(OR(AND(AUTOEVENTO="Manual",$M25=1),$M25&gt;(ROW(PLE.lastrow)-ROW(PLE.firstrow))),0,IF(OFFSET(PLE!$G$14,$M25,BZ$13)="",10^12,OFFSET(PLE!$G$14,$M25,BZ$13))))</f>
        <v>1000000000000</v>
      </c>
      <c r="CA25" s="217">
        <f ca="1">IF($D25&lt;&gt;"Serviço",0,IF(OR(AND(AUTOEVENTO="Manual",$M25=1),$M25&gt;(ROW(PLE.lastrow)-ROW(PLE.firstrow))),0,IF(OFFSET(PLE!$G$14,$M25,CA$13)="",10^12,OFFSET(PLE!$G$14,$M25,CA$13))))</f>
        <v>1000000000000</v>
      </c>
      <c r="CB25" s="217">
        <f ca="1">IF($D25&lt;&gt;"Serviço",0,IF(OR(AND(AUTOEVENTO="Manual",$M25=1),$M25&gt;(ROW(PLE.lastrow)-ROW(PLE.firstrow))),0,IF(OFFSET(PLE!$G$14,$M25,CB$13)="",10^12,OFFSET(PLE!$G$14,$M25,CB$13))))</f>
        <v>1000000000000</v>
      </c>
      <c r="CC25" s="217">
        <f ca="1">IF($D25&lt;&gt;"Serviço",0,IF(OR(AND(AUTOEVENTO="Manual",$M25=1),$M25&gt;(ROW(PLE.lastrow)-ROW(PLE.firstrow))),0,IF(OFFSET(PLE!$G$14,$M25,CC$13)="",10^12,OFFSET(PLE!$G$14,$M25,CC$13))))</f>
        <v>1000000000000</v>
      </c>
      <c r="CD25" s="217">
        <f ca="1">IF($D25&lt;&gt;"Serviço",0,IF(OR(AND(AUTOEVENTO="Manual",$M25=1),$M25&gt;(ROW(PLE.lastrow)-ROW(PLE.firstrow))),0,IF(OFFSET(PLE!$G$14,$M25,CD$13)="",10^12,OFFSET(PLE!$G$14,$M25,CD$13))))</f>
        <v>1000000000000</v>
      </c>
      <c r="CE25" s="217">
        <f ca="1">IF($D25&lt;&gt;"Serviço",0,IF(OR(AND(AUTOEVENTO="Manual",$M25=1),$M25&gt;(ROW(PLE.lastrow)-ROW(PLE.firstrow))),0,IF(OFFSET(PLE!$G$14,$M25,CE$13)="",10^12,OFFSET(PLE!$G$14,$M25,CE$13))))</f>
        <v>1000000000000</v>
      </c>
      <c r="CF25" s="217">
        <f ca="1">IF($D25&lt;&gt;"Serviço",0,IF(OR(AND(AUTOEVENTO="Manual",$M25=1),$M25&gt;(ROW(PLE.lastrow)-ROW(PLE.firstrow))),0,IF(OFFSET(PLE!$G$14,$M25,CF$13)="",10^12,OFFSET(PLE!$G$14,$M25,CF$13))))</f>
        <v>1000000000000</v>
      </c>
      <c r="CG25" s="217">
        <f ca="1">IF($D25&lt;&gt;"Serviço",0,IF(OR(AND(AUTOEVENTO="Manual",$M25=1),$M25&gt;(ROW(PLE.lastrow)-ROW(PLE.firstrow))),0,IF(OFFSET(PLE!$G$14,$M25,CG$13)="",10^12,OFFSET(PLE!$G$14,$M25,CG$13))))</f>
        <v>1000000000000</v>
      </c>
      <c r="CH25" s="217">
        <f ca="1">IF($D25&lt;&gt;"Serviço",0,IF(OR(AND(AUTOEVENTO="Manual",$M25=1),$M25&gt;(ROW(PLE.lastrow)-ROW(PLE.firstrow))),0,IF(OFFSET(PLE!$G$14,$M25,CH$13)="",10^12,OFFSET(PLE!$G$14,$M25,CH$13))))</f>
        <v>1000000000000</v>
      </c>
      <c r="CI25" s="217">
        <f ca="1">IF($D25&lt;&gt;"Serviço",0,IF(OR(AND(AUTOEVENTO="Manual",$M25=1),$M25&gt;(ROW(PLE.lastrow)-ROW(PLE.firstrow))),0,IF(OFFSET(PLE!$G$14,$M25,CI$13)="",10^12,OFFSET(PLE!$G$14,$M25,CI$13))))</f>
        <v>1000000000000</v>
      </c>
      <c r="CJ25" s="217">
        <f ca="1">IF($D25&lt;&gt;"Serviço",0,IF(OR(AND(AUTOEVENTO="Manual",$M25=1),$M25&gt;(ROW(PLE.lastrow)-ROW(PLE.firstrow))),0,IF(OFFSET(PLE!$G$14,$M25,CJ$13)="",10^12,OFFSET(PLE!$G$14,$M25,CJ$13))))</f>
        <v>1000000000000</v>
      </c>
      <c r="CK25" s="217">
        <f ca="1">IF($D25&lt;&gt;"Serviço",0,IF(OR(AND(AUTOEVENTO="Manual",$M25=1),$M25&gt;(ROW(PLE.lastrow)-ROW(PLE.firstrow))),0,IF(OFFSET(PLE!$G$14,$M25,CK$13)="",10^12,OFFSET(PLE!$G$14,$M25,CK$13))))</f>
        <v>1000000000000</v>
      </c>
      <c r="CL25" s="217">
        <f ca="1">IF($D25&lt;&gt;"Serviço",0,IF(OR(AND(AUTOEVENTO="Manual",$M25=1),$M25&gt;(ROW(PLE.lastrow)-ROW(PLE.firstrow))),0,IF(OFFSET(PLE!$G$14,$M25,CL$13)="",10^12,OFFSET(PLE!$G$14,$M25,CL$13))))</f>
        <v>1000000000000</v>
      </c>
      <c r="CM25" s="217">
        <f ca="1">IF($D25&lt;&gt;"Serviço",0,IF(OR(AND(AUTOEVENTO="Manual",$M25=1),$M25&gt;(ROW(PLE.lastrow)-ROW(PLE.firstrow))),0,IF(OFFSET(PLE!$G$14,$M25,CM$13)="",10^12,OFFSET(PLE!$G$14,$M25,CM$13))))</f>
        <v>1000000000000</v>
      </c>
    </row>
    <row r="26" spans="1:91" ht="25.5" x14ac:dyDescent="0.2">
      <c r="A26" s="9" t="str">
        <f t="shared" ca="1" si="9"/>
        <v>5</v>
      </c>
      <c r="B26" s="9" t="str">
        <f ca="1">OFFSET(ORÇAMENTO!C$15,ROW(B26)-ROW(B$15),0)</f>
        <v>S</v>
      </c>
      <c r="C26" s="9" t="str">
        <f ca="1">OFFSET(ORÇAMENTO!L$15,ROW(C26)-ROW(C$15),0)</f>
        <v/>
      </c>
      <c r="D26" s="146" t="str">
        <f ca="1">OFFSET(ORÇAMENTO!N$15,ROW(D26)-ROW(D$15),0)</f>
        <v>Serviço</v>
      </c>
      <c r="E26" s="206" t="str">
        <f ca="1">OFFSET(ORÇAMENTO!O$15,ROW(E26)-ROW(E$15),0)</f>
        <v>-</v>
      </c>
      <c r="F26" s="207" t="str">
        <f ca="1">OFFSET(ORÇAMENTO!R$15,ROW(F26)-ROW(F$15),0)</f>
        <v>(abra o arquivo 'Referência 12-2023.xlsm)</v>
      </c>
      <c r="G26" s="208" t="str">
        <f ca="1">IF($D26&lt;&gt;"Serviço","",OFFSET(ORÇAMENTO!S$15,ROW(G26)-ROW(G$15),0))</f>
        <v>-</v>
      </c>
      <c r="H26" s="152">
        <f ca="1">IF($D26&lt;&gt;"Serviço",0,IF(ACOMPANHAMENTO="BM",ROUND(OFFSET(ORÇAMENTO!AJ$15,ROW(H26)-ROW(H$15),0),15-13*ORÇAMENTO!$AF$7),SUMPRODUCT(($Q$12:$AI$12&lt;&gt;"")*ROUND($Q26:$AI26,15-13*ORÇAMENTO!$AF$7))))</f>
        <v>3237.97</v>
      </c>
      <c r="I26" s="649" t="s">
        <v>504</v>
      </c>
      <c r="K26" s="209"/>
      <c r="L26" s="210" t="s">
        <v>255</v>
      </c>
      <c r="M26" s="211">
        <f ca="1">IF($D26&lt;&gt;"Serviço","",IF(AUTOEVENTO="manual",$A26,IF(ISERROR(MATCH($A26,$A$15:OFFSET($A26,-1,0),0)),MAX($M$15:OFFSET(M26,-1,0))+1,INDEX($M$15:OFFSET(M26,-1,0),MATCH($A26,$A$15:OFFSET($A26,-1,0),0)))))</f>
        <v>3</v>
      </c>
      <c r="N26" s="212" t="str">
        <f ca="1">IF($D26&lt;&gt;"Serviço","",IF(AUTOEVENTO="Manual",IF($A26=0,"&lt;-- defina o número do agrupador",OFFSET(EVENTOS!$D$14,$A26,0)),OFFSET($F$15,$A26,0)))</f>
        <v xml:space="preserve">TERRAPLANAGEM </v>
      </c>
      <c r="O26" s="213"/>
      <c r="Q26" s="213">
        <v>52.82</v>
      </c>
      <c r="R26" s="214">
        <v>276.7</v>
      </c>
      <c r="S26" s="214">
        <v>186.59</v>
      </c>
      <c r="T26" s="214">
        <v>421.93</v>
      </c>
      <c r="U26" s="214">
        <v>834.32</v>
      </c>
      <c r="V26" s="214">
        <v>46.13</v>
      </c>
      <c r="W26" s="214">
        <v>47.82</v>
      </c>
      <c r="X26" s="214">
        <v>419.23</v>
      </c>
      <c r="Y26" s="215">
        <v>158.97999999999999</v>
      </c>
      <c r="Z26" s="214">
        <v>432.98</v>
      </c>
      <c r="AA26" s="214">
        <v>326.68</v>
      </c>
      <c r="AB26" s="214">
        <v>33.79</v>
      </c>
      <c r="AC26" s="214"/>
      <c r="AD26" s="214"/>
      <c r="AE26" s="214"/>
      <c r="AF26" s="214"/>
      <c r="AG26" s="214"/>
      <c r="AH26" s="215"/>
      <c r="AJ26" s="630">
        <f ca="1">IF(AND($D26="Serviço",AJ$12&lt;&gt;0,$H26&gt;0,OR(AUTOEVENTO&lt;&gt;"manual",$M26&lt;&gt;1)),
IF(Import.TipoArredondamento&lt;&gt;"TransfereGOV",
ROUND(OFFSET($P26,0,AJ$13),15-13*ORÇAMENTO!$AF$7)/$H26*OFFSET(ORÇAMENTO!$X$15,ROW(AJ26)-ROW(AJ$15),0),
ROUND(ROUND(OFFSET($P26,0,AJ$13),15-13*ORÇAMENTO!$AF$7)*OFFSET(ORÇAMENTO!$W$15,ROW(AJ26)-ROW(AJ$15),0),15-13*ORÇAMENTO!$AF$11)),0)</f>
        <v>0</v>
      </c>
      <c r="AK26" s="631">
        <f ca="1">IF(AND($D26="Serviço",AK$12&lt;&gt;0,$H26&gt;0,OR(AUTOEVENTO&lt;&gt;"manual",$M26&lt;&gt;1)),
IF(Import.TipoArredondamento&lt;&gt;"TransfereGOV",
ROUND(OFFSET($P26,0,AK$13),15-13*ORÇAMENTO!$AF$7)/$H26*OFFSET(ORÇAMENTO!$X$15,ROW(AK26)-ROW(AK$15),0),
ROUND(ROUND(OFFSET($P26,0,AK$13),15-13*ORÇAMENTO!$AF$7)*OFFSET(ORÇAMENTO!$W$15,ROW(AK26)-ROW(AK$15),0),15-13*ORÇAMENTO!$AF$11)),0)</f>
        <v>0</v>
      </c>
      <c r="AL26" s="631">
        <f ca="1">IF(AND($D26="Serviço",AL$12&lt;&gt;0,$H26&gt;0,OR(AUTOEVENTO&lt;&gt;"manual",$M26&lt;&gt;1)),
IF(Import.TipoArredondamento&lt;&gt;"TransfereGOV",
ROUND(OFFSET($P26,0,AL$13),15-13*ORÇAMENTO!$AF$7)/$H26*OFFSET(ORÇAMENTO!$X$15,ROW(AL26)-ROW(AL$15),0),
ROUND(ROUND(OFFSET($P26,0,AL$13),15-13*ORÇAMENTO!$AF$7)*OFFSET(ORÇAMENTO!$W$15,ROW(AL26)-ROW(AL$15),0),15-13*ORÇAMENTO!$AF$11)),0)</f>
        <v>0</v>
      </c>
      <c r="AM26" s="631">
        <f ca="1">IF(AND($D26="Serviço",AM$12&lt;&gt;0,$H26&gt;0,OR(AUTOEVENTO&lt;&gt;"manual",$M26&lt;&gt;1)),
IF(Import.TipoArredondamento&lt;&gt;"TransfereGOV",
ROUND(OFFSET($P26,0,AM$13),15-13*ORÇAMENTO!$AF$7)/$H26*OFFSET(ORÇAMENTO!$X$15,ROW(AM26)-ROW(AM$15),0),
ROUND(ROUND(OFFSET($P26,0,AM$13),15-13*ORÇAMENTO!$AF$7)*OFFSET(ORÇAMENTO!$W$15,ROW(AM26)-ROW(AM$15),0),15-13*ORÇAMENTO!$AF$11)),0)</f>
        <v>0</v>
      </c>
      <c r="AN26" s="631">
        <f ca="1">IF(AND($D26="Serviço",AN$12&lt;&gt;0,$H26&gt;0,OR(AUTOEVENTO&lt;&gt;"manual",$M26&lt;&gt;1)),
IF(Import.TipoArredondamento&lt;&gt;"TransfereGOV",
ROUND(OFFSET($P26,0,AN$13),15-13*ORÇAMENTO!$AF$7)/$H26*OFFSET(ORÇAMENTO!$X$15,ROW(AN26)-ROW(AN$15),0),
ROUND(ROUND(OFFSET($P26,0,AN$13),15-13*ORÇAMENTO!$AF$7)*OFFSET(ORÇAMENTO!$W$15,ROW(AN26)-ROW(AN$15),0),15-13*ORÇAMENTO!$AF$11)),0)</f>
        <v>0</v>
      </c>
      <c r="AO26" s="631">
        <f ca="1">IF(AND($D26="Serviço",AO$12&lt;&gt;0,$H26&gt;0,OR(AUTOEVENTO&lt;&gt;"manual",$M26&lt;&gt;1)),
IF(Import.TipoArredondamento&lt;&gt;"TransfereGOV",
ROUND(OFFSET($P26,0,AO$13),15-13*ORÇAMENTO!$AF$7)/$H26*OFFSET(ORÇAMENTO!$X$15,ROW(AO26)-ROW(AO$15),0),
ROUND(ROUND(OFFSET($P26,0,AO$13),15-13*ORÇAMENTO!$AF$7)*OFFSET(ORÇAMENTO!$W$15,ROW(AO26)-ROW(AO$15),0),15-13*ORÇAMENTO!$AF$11)),0)</f>
        <v>0</v>
      </c>
      <c r="AP26" s="631">
        <f ca="1">IF(AND($D26="Serviço",AP$12&lt;&gt;0,$H26&gt;0,OR(AUTOEVENTO&lt;&gt;"manual",$M26&lt;&gt;1)),
IF(Import.TipoArredondamento&lt;&gt;"TransfereGOV",
ROUND(OFFSET($P26,0,AP$13),15-13*ORÇAMENTO!$AF$7)/$H26*OFFSET(ORÇAMENTO!$X$15,ROW(AP26)-ROW(AP$15),0),
ROUND(ROUND(OFFSET($P26,0,AP$13),15-13*ORÇAMENTO!$AF$7)*OFFSET(ORÇAMENTO!$W$15,ROW(AP26)-ROW(AP$15),0),15-13*ORÇAMENTO!$AF$11)),0)</f>
        <v>0</v>
      </c>
      <c r="AQ26" s="631">
        <f ca="1">IF(AND($D26="Serviço",AQ$12&lt;&gt;0,$H26&gt;0,OR(AUTOEVENTO&lt;&gt;"manual",$M26&lt;&gt;1)),
IF(Import.TipoArredondamento&lt;&gt;"TransfereGOV",
ROUND(OFFSET($P26,0,AQ$13),15-13*ORÇAMENTO!$AF$7)/$H26*OFFSET(ORÇAMENTO!$X$15,ROW(AQ26)-ROW(AQ$15),0),
ROUND(ROUND(OFFSET($P26,0,AQ$13),15-13*ORÇAMENTO!$AF$7)*OFFSET(ORÇAMENTO!$W$15,ROW(AQ26)-ROW(AQ$15),0),15-13*ORÇAMENTO!$AF$11)),0)</f>
        <v>0</v>
      </c>
      <c r="AR26" s="631">
        <f ca="1">IF(AND($D26="Serviço",AR$12&lt;&gt;0,$H26&gt;0,OR(AUTOEVENTO&lt;&gt;"manual",$M26&lt;&gt;1)),
IF(Import.TipoArredondamento&lt;&gt;"TransfereGOV",
ROUND(OFFSET($P26,0,AR$13),15-13*ORÇAMENTO!$AF$7)/$H26*OFFSET(ORÇAMENTO!$X$15,ROW(AR26)-ROW(AR$15),0),
ROUND(ROUND(OFFSET($P26,0,AR$13),15-13*ORÇAMENTO!$AF$7)*OFFSET(ORÇAMENTO!$W$15,ROW(AR26)-ROW(AR$15),0),15-13*ORÇAMENTO!$AF$11)),0)</f>
        <v>0</v>
      </c>
      <c r="AS26" s="632">
        <f ca="1">IF(AND($D26="Serviço",AS$12&lt;&gt;0,$H26&gt;0,OR(AUTOEVENTO&lt;&gt;"manual",$M26&lt;&gt;1)),
IF(Import.TipoArredondamento&lt;&gt;"TransfereGOV",
ROUND(OFFSET($P26,0,AS$13),15-13*ORÇAMENTO!$AF$7)/$H26*OFFSET(ORÇAMENTO!$X$15,ROW(AS26)-ROW(AS$15),0),
ROUND(ROUND(OFFSET($P26,0,AS$13),15-13*ORÇAMENTO!$AF$7)*OFFSET(ORÇAMENTO!$W$15,ROW(AS26)-ROW(AS$15),0),15-13*ORÇAMENTO!$AF$11)),0)</f>
        <v>0</v>
      </c>
      <c r="AT26" s="631">
        <f ca="1">IF(AND($D26="Serviço",AT$12&lt;&gt;0,$H26&gt;0,OR(AUTOEVENTO&lt;&gt;"manual",$M26&lt;&gt;1)),
IF(Import.TipoArredondamento&lt;&gt;"TransfereGOV",
ROUND(OFFSET($P26,0,AT$13),15-13*ORÇAMENTO!$AF$7)/$H26*OFFSET(ORÇAMENTO!$X$15,ROW(AT26)-ROW(AT$15),0),
ROUND(ROUND(OFFSET($P26,0,AT$13),15-13*ORÇAMENTO!$AF$7)*OFFSET(ORÇAMENTO!$W$15,ROW(AT26)-ROW(AT$15),0),15-13*ORÇAMENTO!$AF$11)),0)</f>
        <v>0</v>
      </c>
      <c r="AU26" s="631">
        <f ca="1">IF(AND($D26="Serviço",AU$12&lt;&gt;0,$H26&gt;0,OR(AUTOEVENTO&lt;&gt;"manual",$M26&lt;&gt;1)),
IF(Import.TipoArredondamento&lt;&gt;"TransfereGOV",
ROUND(OFFSET($P26,0,AU$13),15-13*ORÇAMENTO!$AF$7)/$H26*OFFSET(ORÇAMENTO!$X$15,ROW(AU26)-ROW(AU$15),0),
ROUND(ROUND(OFFSET($P26,0,AU$13),15-13*ORÇAMENTO!$AF$7)*OFFSET(ORÇAMENTO!$W$15,ROW(AU26)-ROW(AU$15),0),15-13*ORÇAMENTO!$AF$11)),0)</f>
        <v>0</v>
      </c>
      <c r="AV26" s="631">
        <f ca="1">IF(AND($D26="Serviço",AV$12&lt;&gt;0,$H26&gt;0,OR(AUTOEVENTO&lt;&gt;"manual",$M26&lt;&gt;1)),
IF(Import.TipoArredondamento&lt;&gt;"TransfereGOV",
ROUND(OFFSET($P26,0,AV$13),15-13*ORÇAMENTO!$AF$7)/$H26*OFFSET(ORÇAMENTO!$X$15,ROW(AV26)-ROW(AV$15),0),
ROUND(ROUND(OFFSET($P26,0,AV$13),15-13*ORÇAMENTO!$AF$7)*OFFSET(ORÇAMENTO!$W$15,ROW(AV26)-ROW(AV$15),0),15-13*ORÇAMENTO!$AF$11)),0)</f>
        <v>0</v>
      </c>
      <c r="AW26" s="631">
        <f ca="1">IF(AND($D26="Serviço",AW$12&lt;&gt;0,$H26&gt;0,OR(AUTOEVENTO&lt;&gt;"manual",$M26&lt;&gt;1)),
IF(Import.TipoArredondamento&lt;&gt;"TransfereGOV",
ROUND(OFFSET($P26,0,AW$13),15-13*ORÇAMENTO!$AF$7)/$H26*OFFSET(ORÇAMENTO!$X$15,ROW(AW26)-ROW(AW$15),0),
ROUND(ROUND(OFFSET($P26,0,AW$13),15-13*ORÇAMENTO!$AF$7)*OFFSET(ORÇAMENTO!$W$15,ROW(AW26)-ROW(AW$15),0),15-13*ORÇAMENTO!$AF$11)),0)</f>
        <v>0</v>
      </c>
      <c r="AX26" s="631">
        <f ca="1">IF(AND($D26="Serviço",AX$12&lt;&gt;0,$H26&gt;0,OR(AUTOEVENTO&lt;&gt;"manual",$M26&lt;&gt;1)),
IF(Import.TipoArredondamento&lt;&gt;"TransfereGOV",
ROUND(OFFSET($P26,0,AX$13),15-13*ORÇAMENTO!$AF$7)/$H26*OFFSET(ORÇAMENTO!$X$15,ROW(AX26)-ROW(AX$15),0),
ROUND(ROUND(OFFSET($P26,0,AX$13),15-13*ORÇAMENTO!$AF$7)*OFFSET(ORÇAMENTO!$W$15,ROW(AX26)-ROW(AX$15),0),15-13*ORÇAMENTO!$AF$11)),0)</f>
        <v>0</v>
      </c>
      <c r="AY26" s="631">
        <f ca="1">IF(AND($D26="Serviço",AY$12&lt;&gt;0,$H26&gt;0,OR(AUTOEVENTO&lt;&gt;"manual",$M26&lt;&gt;1)),
IF(Import.TipoArredondamento&lt;&gt;"TransfereGOV",
ROUND(OFFSET($P26,0,AY$13),15-13*ORÇAMENTO!$AF$7)/$H26*OFFSET(ORÇAMENTO!$X$15,ROW(AY26)-ROW(AY$15),0),
ROUND(ROUND(OFFSET($P26,0,AY$13),15-13*ORÇAMENTO!$AF$7)*OFFSET(ORÇAMENTO!$W$15,ROW(AY26)-ROW(AY$15),0),15-13*ORÇAMENTO!$AF$11)),0)</f>
        <v>0</v>
      </c>
      <c r="AZ26" s="631">
        <f ca="1">IF(AND($D26="Serviço",AZ$12&lt;&gt;0,$H26&gt;0,OR(AUTOEVENTO&lt;&gt;"manual",$M26&lt;&gt;1)),
IF(Import.TipoArredondamento&lt;&gt;"TransfereGOV",
ROUND(OFFSET($P26,0,AZ$13),15-13*ORÇAMENTO!$AF$7)/$H26*OFFSET(ORÇAMENTO!$X$15,ROW(AZ26)-ROW(AZ$15),0),
ROUND(ROUND(OFFSET($P26,0,AZ$13),15-13*ORÇAMENTO!$AF$7)*OFFSET(ORÇAMENTO!$W$15,ROW(AZ26)-ROW(AZ$15),0),15-13*ORÇAMENTO!$AF$11)),0)</f>
        <v>0</v>
      </c>
      <c r="BA26" s="632">
        <f ca="1">IF(AND($D26="Serviço",BA$12&lt;&gt;0,$H26&gt;0,OR(AUTOEVENTO&lt;&gt;"manual",$M26&lt;&gt;1)),
IF(Import.TipoArredondamento&lt;&gt;"TransfereGOV",
ROUND(OFFSET($P26,0,BA$13),15-13*ORÇAMENTO!$AF$7)/$H26*OFFSET(ORÇAMENTO!$X$15,ROW(BA26)-ROW(BA$15),0),
ROUND(ROUND(OFFSET($P26,0,BA$13),15-13*ORÇAMENTO!$AF$7)*OFFSET(ORÇAMENTO!$W$15,ROW(BA26)-ROW(BA$15),0),15-13*ORÇAMENTO!$AF$11)),0)</f>
        <v>0</v>
      </c>
      <c r="BC26" s="216">
        <f ca="1">IF($D26&lt;&gt;"Serviço",0,IF(AND(AUTOEVENTO="Manual",$M26=1),0,IF(OFFSET(CRONOPLE!$F$14,$M26,BC$13)="",10^12,OFFSET(CRONOPLE!$F$14,$M26,BC$13))))</f>
        <v>1</v>
      </c>
      <c r="BD26" s="216">
        <f ca="1">IF($D26&lt;&gt;"Serviço",0,IF(AND(AUTOEVENTO="Manual",$M26=1),0,IF(OFFSET(CRONOPLE!$F$14,$M26,BD$13)="",10^12,OFFSET(CRONOPLE!$F$14,$M26,BD$13))))</f>
        <v>1</v>
      </c>
      <c r="BE26" s="216">
        <f ca="1">IF($D26&lt;&gt;"Serviço",0,IF(AND(AUTOEVENTO="Manual",$M26=1),0,IF(OFFSET(CRONOPLE!$F$14,$M26,BE$13)="",10^12,OFFSET(CRONOPLE!$F$14,$M26,BE$13))))</f>
        <v>2</v>
      </c>
      <c r="BF26" s="216">
        <f ca="1">IF($D26&lt;&gt;"Serviço",0,IF(AND(AUTOEVENTO="Manual",$M26=1),0,IF(OFFSET(CRONOPLE!$F$14,$M26,BF$13)="",10^12,OFFSET(CRONOPLE!$F$14,$M26,BF$13))))</f>
        <v>2</v>
      </c>
      <c r="BG26" s="216">
        <f ca="1">IF($D26&lt;&gt;"Serviço",0,IF(AND(AUTOEVENTO="Manual",$M26=1),0,IF(OFFSET(CRONOPLE!$F$14,$M26,BG$13)="",10^12,OFFSET(CRONOPLE!$F$14,$M26,BG$13))))</f>
        <v>3</v>
      </c>
      <c r="BH26" s="216">
        <f ca="1">IF($D26&lt;&gt;"Serviço",0,IF(AND(AUTOEVENTO="Manual",$M26=1),0,IF(OFFSET(CRONOPLE!$F$14,$M26,BH$13)="",10^12,OFFSET(CRONOPLE!$F$14,$M26,BH$13))))</f>
        <v>4</v>
      </c>
      <c r="BI26" s="216">
        <f ca="1">IF($D26&lt;&gt;"Serviço",0,IF(AND(AUTOEVENTO="Manual",$M26=1),0,IF(OFFSET(CRONOPLE!$F$14,$M26,BI$13)="",10^12,OFFSET(CRONOPLE!$F$14,$M26,BI$13))))</f>
        <v>4</v>
      </c>
      <c r="BJ26" s="216">
        <f ca="1">IF($D26&lt;&gt;"Serviço",0,IF(AND(AUTOEVENTO="Manual",$M26=1),0,IF(OFFSET(CRONOPLE!$F$14,$M26,BJ$13)="",10^12,OFFSET(CRONOPLE!$F$14,$M26,BJ$13))))</f>
        <v>4</v>
      </c>
      <c r="BK26" s="216">
        <f ca="1">IF($D26&lt;&gt;"Serviço",0,IF(AND(AUTOEVENTO="Manual",$M26=1),0,IF(OFFSET(CRONOPLE!$F$14,$M26,BK$13)="",10^12,OFFSET(CRONOPLE!$F$14,$M26,BK$13))))</f>
        <v>5</v>
      </c>
      <c r="BL26" s="216">
        <f ca="1">IF($D26&lt;&gt;"Serviço",0,IF(AND(AUTOEVENTO="Manual",$M26=1),0,IF(OFFSET(CRONOPLE!$F$14,$M26,BL$13)="",10^12,OFFSET(CRONOPLE!$F$14,$M26,BL$13))))</f>
        <v>5</v>
      </c>
      <c r="BM26" s="216">
        <f ca="1">IF($D26&lt;&gt;"Serviço",0,IF(AND(AUTOEVENTO="Manual",$M26=1),0,IF(OFFSET(CRONOPLE!$F$14,$M26,BM$13)="",10^12,OFFSET(CRONOPLE!$F$14,$M26,BM$13))))</f>
        <v>6</v>
      </c>
      <c r="BN26" s="216">
        <f ca="1">IF($D26&lt;&gt;"Serviço",0,IF(AND(AUTOEVENTO="Manual",$M26=1),0,IF(OFFSET(CRONOPLE!$F$14,$M26,BN$13)="",10^12,OFFSET(CRONOPLE!$F$14,$M26,BN$13))))</f>
        <v>6</v>
      </c>
      <c r="BO26" s="216">
        <f ca="1">IF($D26&lt;&gt;"Serviço",0,IF(AND(AUTOEVENTO="Manual",$M26=1),0,IF(OFFSET(CRONOPLE!$F$14,$M26,BO$13)="",10^12,OFFSET(CRONOPLE!$F$14,$M26,BO$13))))</f>
        <v>6</v>
      </c>
      <c r="BP26" s="216">
        <f ca="1">IF($D26&lt;&gt;"Serviço",0,IF(AND(AUTOEVENTO="Manual",$M26=1),0,IF(OFFSET(CRONOPLE!$F$14,$M26,BP$13)="",10^12,OFFSET(CRONOPLE!$F$14,$M26,BP$13))))</f>
        <v>1000000000000</v>
      </c>
      <c r="BQ26" s="216">
        <f ca="1">IF($D26&lt;&gt;"Serviço",0,IF(AND(AUTOEVENTO="Manual",$M26=1),0,IF(OFFSET(CRONOPLE!$F$14,$M26,BQ$13)="",10^12,OFFSET(CRONOPLE!$F$14,$M26,BQ$13))))</f>
        <v>1000000000000</v>
      </c>
      <c r="BR26" s="216">
        <f ca="1">IF($D26&lt;&gt;"Serviço",0,IF(AND(AUTOEVENTO="Manual",$M26=1),0,IF(OFFSET(CRONOPLE!$F$14,$M26,BR$13)="",10^12,OFFSET(CRONOPLE!$F$14,$M26,BR$13))))</f>
        <v>1000000000000</v>
      </c>
      <c r="BS26" s="216">
        <f ca="1">IF($D26&lt;&gt;"Serviço",0,IF(AND(AUTOEVENTO="Manual",$M26=1),0,IF(OFFSET(CRONOPLE!$F$14,$M26,BS$13)="",10^12,OFFSET(CRONOPLE!$F$14,$M26,BS$13))))</f>
        <v>1000000000000</v>
      </c>
      <c r="BT26" s="216">
        <f ca="1">IF($D26&lt;&gt;"Serviço",0,IF(AND(AUTOEVENTO="Manual",$M26=1),0,IF(OFFSET(CRONOPLE!$F$14,$M26,BT$13)="",10^12,OFFSET(CRONOPLE!$F$14,$M26,BT$13))))</f>
        <v>1000000000000</v>
      </c>
      <c r="BV26" s="217">
        <f ca="1">IF($D26&lt;&gt;"Serviço",0,IF(OR(AND(AUTOEVENTO="Manual",$M26=1),$M26&gt;(ROW(PLE.lastrow)-ROW(PLE.firstrow))),0,IF(OFFSET(PLE!$G$14,$M26,BV$13)="",10^12,OFFSET(PLE!$G$14,$M26,BV$13))))</f>
        <v>1000000000000</v>
      </c>
      <c r="BW26" s="217">
        <f ca="1">IF($D26&lt;&gt;"Serviço",0,IF(OR(AND(AUTOEVENTO="Manual",$M26=1),$M26&gt;(ROW(PLE.lastrow)-ROW(PLE.firstrow))),0,IF(OFFSET(PLE!$G$14,$M26,BW$13)="",10^12,OFFSET(PLE!$G$14,$M26,BW$13))))</f>
        <v>1000000000000</v>
      </c>
      <c r="BX26" s="217">
        <f ca="1">IF($D26&lt;&gt;"Serviço",0,IF(OR(AND(AUTOEVENTO="Manual",$M26=1),$M26&gt;(ROW(PLE.lastrow)-ROW(PLE.firstrow))),0,IF(OFFSET(PLE!$G$14,$M26,BX$13)="",10^12,OFFSET(PLE!$G$14,$M26,BX$13))))</f>
        <v>1000000000000</v>
      </c>
      <c r="BY26" s="217">
        <f ca="1">IF($D26&lt;&gt;"Serviço",0,IF(OR(AND(AUTOEVENTO="Manual",$M26=1),$M26&gt;(ROW(PLE.lastrow)-ROW(PLE.firstrow))),0,IF(OFFSET(PLE!$G$14,$M26,BY$13)="",10^12,OFFSET(PLE!$G$14,$M26,BY$13))))</f>
        <v>1000000000000</v>
      </c>
      <c r="BZ26" s="217">
        <f ca="1">IF($D26&lt;&gt;"Serviço",0,IF(OR(AND(AUTOEVENTO="Manual",$M26=1),$M26&gt;(ROW(PLE.lastrow)-ROW(PLE.firstrow))),0,IF(OFFSET(PLE!$G$14,$M26,BZ$13)="",10^12,OFFSET(PLE!$G$14,$M26,BZ$13))))</f>
        <v>1000000000000</v>
      </c>
      <c r="CA26" s="217">
        <f ca="1">IF($D26&lt;&gt;"Serviço",0,IF(OR(AND(AUTOEVENTO="Manual",$M26=1),$M26&gt;(ROW(PLE.lastrow)-ROW(PLE.firstrow))),0,IF(OFFSET(PLE!$G$14,$M26,CA$13)="",10^12,OFFSET(PLE!$G$14,$M26,CA$13))))</f>
        <v>1000000000000</v>
      </c>
      <c r="CB26" s="217">
        <f ca="1">IF($D26&lt;&gt;"Serviço",0,IF(OR(AND(AUTOEVENTO="Manual",$M26=1),$M26&gt;(ROW(PLE.lastrow)-ROW(PLE.firstrow))),0,IF(OFFSET(PLE!$G$14,$M26,CB$13)="",10^12,OFFSET(PLE!$G$14,$M26,CB$13))))</f>
        <v>1000000000000</v>
      </c>
      <c r="CC26" s="217">
        <f ca="1">IF($D26&lt;&gt;"Serviço",0,IF(OR(AND(AUTOEVENTO="Manual",$M26=1),$M26&gt;(ROW(PLE.lastrow)-ROW(PLE.firstrow))),0,IF(OFFSET(PLE!$G$14,$M26,CC$13)="",10^12,OFFSET(PLE!$G$14,$M26,CC$13))))</f>
        <v>1000000000000</v>
      </c>
      <c r="CD26" s="217">
        <f ca="1">IF($D26&lt;&gt;"Serviço",0,IF(OR(AND(AUTOEVENTO="Manual",$M26=1),$M26&gt;(ROW(PLE.lastrow)-ROW(PLE.firstrow))),0,IF(OFFSET(PLE!$G$14,$M26,CD$13)="",10^12,OFFSET(PLE!$G$14,$M26,CD$13))))</f>
        <v>1000000000000</v>
      </c>
      <c r="CE26" s="217">
        <f ca="1">IF($D26&lt;&gt;"Serviço",0,IF(OR(AND(AUTOEVENTO="Manual",$M26=1),$M26&gt;(ROW(PLE.lastrow)-ROW(PLE.firstrow))),0,IF(OFFSET(PLE!$G$14,$M26,CE$13)="",10^12,OFFSET(PLE!$G$14,$M26,CE$13))))</f>
        <v>1000000000000</v>
      </c>
      <c r="CF26" s="217">
        <f ca="1">IF($D26&lt;&gt;"Serviço",0,IF(OR(AND(AUTOEVENTO="Manual",$M26=1),$M26&gt;(ROW(PLE.lastrow)-ROW(PLE.firstrow))),0,IF(OFFSET(PLE!$G$14,$M26,CF$13)="",10^12,OFFSET(PLE!$G$14,$M26,CF$13))))</f>
        <v>1000000000000</v>
      </c>
      <c r="CG26" s="217">
        <f ca="1">IF($D26&lt;&gt;"Serviço",0,IF(OR(AND(AUTOEVENTO="Manual",$M26=1),$M26&gt;(ROW(PLE.lastrow)-ROW(PLE.firstrow))),0,IF(OFFSET(PLE!$G$14,$M26,CG$13)="",10^12,OFFSET(PLE!$G$14,$M26,CG$13))))</f>
        <v>1000000000000</v>
      </c>
      <c r="CH26" s="217">
        <f ca="1">IF($D26&lt;&gt;"Serviço",0,IF(OR(AND(AUTOEVENTO="Manual",$M26=1),$M26&gt;(ROW(PLE.lastrow)-ROW(PLE.firstrow))),0,IF(OFFSET(PLE!$G$14,$M26,CH$13)="",10^12,OFFSET(PLE!$G$14,$M26,CH$13))))</f>
        <v>1000000000000</v>
      </c>
      <c r="CI26" s="217">
        <f ca="1">IF($D26&lt;&gt;"Serviço",0,IF(OR(AND(AUTOEVENTO="Manual",$M26=1),$M26&gt;(ROW(PLE.lastrow)-ROW(PLE.firstrow))),0,IF(OFFSET(PLE!$G$14,$M26,CI$13)="",10^12,OFFSET(PLE!$G$14,$M26,CI$13))))</f>
        <v>1000000000000</v>
      </c>
      <c r="CJ26" s="217">
        <f ca="1">IF($D26&lt;&gt;"Serviço",0,IF(OR(AND(AUTOEVENTO="Manual",$M26=1),$M26&gt;(ROW(PLE.lastrow)-ROW(PLE.firstrow))),0,IF(OFFSET(PLE!$G$14,$M26,CJ$13)="",10^12,OFFSET(PLE!$G$14,$M26,CJ$13))))</f>
        <v>1000000000000</v>
      </c>
      <c r="CK26" s="217">
        <f ca="1">IF($D26&lt;&gt;"Serviço",0,IF(OR(AND(AUTOEVENTO="Manual",$M26=1),$M26&gt;(ROW(PLE.lastrow)-ROW(PLE.firstrow))),0,IF(OFFSET(PLE!$G$14,$M26,CK$13)="",10^12,OFFSET(PLE!$G$14,$M26,CK$13))))</f>
        <v>1000000000000</v>
      </c>
      <c r="CL26" s="217">
        <f ca="1">IF($D26&lt;&gt;"Serviço",0,IF(OR(AND(AUTOEVENTO="Manual",$M26=1),$M26&gt;(ROW(PLE.lastrow)-ROW(PLE.firstrow))),0,IF(OFFSET(PLE!$G$14,$M26,CL$13)="",10^12,OFFSET(PLE!$G$14,$M26,CL$13))))</f>
        <v>1000000000000</v>
      </c>
      <c r="CM26" s="217">
        <f ca="1">IF($D26&lt;&gt;"Serviço",0,IF(OR(AND(AUTOEVENTO="Manual",$M26=1),$M26&gt;(ROW(PLE.lastrow)-ROW(PLE.firstrow))),0,IF(OFFSET(PLE!$G$14,$M26,CM$13)="",10^12,OFFSET(PLE!$G$14,$M26,CM$13))))</f>
        <v>1000000000000</v>
      </c>
    </row>
    <row r="27" spans="1:91" ht="25.5" x14ac:dyDescent="0.2">
      <c r="A27" s="9" t="str">
        <f ca="1">IF(AUTOEVENTO="Manual",IF(K27&lt;&gt;"",MIN(VALUE(LEFT(K27,FIND(".",K27)-1)),COUNTA(EVENTOS.Lista)),0),IF(OR($B27&gt;AUTOEVENTO,$B27="S",$B27=0),SUBSTITUTE(OFFSET($A27,-1,0),IF($D27="Serviço",".",""),""),ROW(A27)-ROW($A$15)&amp;"."))</f>
        <v>5</v>
      </c>
      <c r="B27" s="9" t="str">
        <f ca="1">OFFSET(ORÇAMENTO!C$15,ROW(B27)-ROW(B$15),0)</f>
        <v>S</v>
      </c>
      <c r="C27" s="9" t="str">
        <f ca="1">OFFSET(ORÇAMENTO!L$15,ROW(C27)-ROW(C$15),0)</f>
        <v/>
      </c>
      <c r="D27" s="146" t="str">
        <f ca="1">OFFSET(ORÇAMENTO!N$15,ROW(D27)-ROW(D$15),0)</f>
        <v>Serviço</v>
      </c>
      <c r="E27" s="206" t="str">
        <f ca="1">OFFSET(ORÇAMENTO!O$15,ROW(E27)-ROW(E$15),0)</f>
        <v>-</v>
      </c>
      <c r="F27" s="207" t="str">
        <f ca="1">OFFSET(ORÇAMENTO!R$15,ROW(F27)-ROW(F$15),0)</f>
        <v>(abra o arquivo 'Referência 12-2023.xlsm)</v>
      </c>
      <c r="G27" s="208" t="str">
        <f ca="1">IF($D27&lt;&gt;"Serviço","",OFFSET(ORÇAMENTO!S$15,ROW(G27)-ROW(G$15),0))</f>
        <v>-</v>
      </c>
      <c r="H27" s="152">
        <f ca="1">IF($D27&lt;&gt;"Serviço",0,IF(ACOMPANHAMENTO="BM",ROUND(OFFSET(ORÇAMENTO!AJ$15,ROW(H27)-ROW(H$15),0),15-13*ORÇAMENTO!$AF$7),SUMPRODUCT(($Q$12:$AI$12&lt;&gt;"")*ROUND($Q27:$AI27,15-13*ORÇAMENTO!$AF$7))))</f>
        <v>27014.65</v>
      </c>
      <c r="I27" s="649" t="s">
        <v>504</v>
      </c>
      <c r="K27" s="209"/>
      <c r="L27" s="210" t="s">
        <v>255</v>
      </c>
      <c r="M27" s="211">
        <f ca="1">IF($D27&lt;&gt;"Serviço","",IF(AUTOEVENTO="manual",$A27,IF(ISERROR(MATCH($A27,$A$15:OFFSET($A27,-1,0),0)),MAX($M$15:OFFSET(M27,-1,0))+1,INDEX($M$15:OFFSET(M27,-1,0),MATCH($A27,$A$15:OFFSET($A27,-1,0),0)))))</f>
        <v>3</v>
      </c>
      <c r="N27" s="212" t="str">
        <f ca="1">IF($D27&lt;&gt;"Serviço","",IF(AUTOEVENTO="Manual",IF($A27=0,"&lt;-- defina o número do agrupador",OFFSET(EVENTOS!$D$14,$A27,0)),OFFSET($F$15,$A27,0)))</f>
        <v xml:space="preserve">TERRAPLANAGEM </v>
      </c>
      <c r="O27" s="213"/>
      <c r="Q27" s="213">
        <v>440.68</v>
      </c>
      <c r="R27" s="214">
        <v>2308.52</v>
      </c>
      <c r="S27" s="214">
        <v>1556.75</v>
      </c>
      <c r="T27" s="214">
        <v>3520.16</v>
      </c>
      <c r="U27" s="214">
        <v>6960.81</v>
      </c>
      <c r="V27" s="214">
        <v>384.86</v>
      </c>
      <c r="W27" s="214">
        <v>398.98</v>
      </c>
      <c r="X27" s="214">
        <v>3497.71</v>
      </c>
      <c r="Y27" s="215">
        <v>1326.4</v>
      </c>
      <c r="Z27" s="214">
        <v>3612.35</v>
      </c>
      <c r="AA27" s="214">
        <v>2725.52</v>
      </c>
      <c r="AB27" s="214">
        <v>281.91000000000003</v>
      </c>
      <c r="AC27" s="214"/>
      <c r="AD27" s="214"/>
      <c r="AE27" s="214"/>
      <c r="AF27" s="214"/>
      <c r="AG27" s="214"/>
      <c r="AH27" s="215"/>
      <c r="AJ27" s="630">
        <f ca="1">IF(AND($D27="Serviço",AJ$12&lt;&gt;0,$H27&gt;0,OR(AUTOEVENTO&lt;&gt;"manual",$M27&lt;&gt;1)),
IF(Import.TipoArredondamento&lt;&gt;"TransfereGOV",
ROUND(OFFSET($P27,0,AJ$13),15-13*ORÇAMENTO!$AF$7)/$H27*OFFSET(ORÇAMENTO!$X$15,ROW(AJ27)-ROW(AJ$15),0),
ROUND(ROUND(OFFSET($P27,0,AJ$13),15-13*ORÇAMENTO!$AF$7)*OFFSET(ORÇAMENTO!$W$15,ROW(AJ27)-ROW(AJ$15),0),15-13*ORÇAMENTO!$AF$11)),0)</f>
        <v>0</v>
      </c>
      <c r="AK27" s="631">
        <f ca="1">IF(AND($D27="Serviço",AK$12&lt;&gt;0,$H27&gt;0,OR(AUTOEVENTO&lt;&gt;"manual",$M27&lt;&gt;1)),
IF(Import.TipoArredondamento&lt;&gt;"TransfereGOV",
ROUND(OFFSET($P27,0,AK$13),15-13*ORÇAMENTO!$AF$7)/$H27*OFFSET(ORÇAMENTO!$X$15,ROW(AK27)-ROW(AK$15),0),
ROUND(ROUND(OFFSET($P27,0,AK$13),15-13*ORÇAMENTO!$AF$7)*OFFSET(ORÇAMENTO!$W$15,ROW(AK27)-ROW(AK$15),0),15-13*ORÇAMENTO!$AF$11)),0)</f>
        <v>0</v>
      </c>
      <c r="AL27" s="631">
        <f ca="1">IF(AND($D27="Serviço",AL$12&lt;&gt;0,$H27&gt;0,OR(AUTOEVENTO&lt;&gt;"manual",$M27&lt;&gt;1)),
IF(Import.TipoArredondamento&lt;&gt;"TransfereGOV",
ROUND(OFFSET($P27,0,AL$13),15-13*ORÇAMENTO!$AF$7)/$H27*OFFSET(ORÇAMENTO!$X$15,ROW(AL27)-ROW(AL$15),0),
ROUND(ROUND(OFFSET($P27,0,AL$13),15-13*ORÇAMENTO!$AF$7)*OFFSET(ORÇAMENTO!$W$15,ROW(AL27)-ROW(AL$15),0),15-13*ORÇAMENTO!$AF$11)),0)</f>
        <v>0</v>
      </c>
      <c r="AM27" s="631">
        <f ca="1">IF(AND($D27="Serviço",AM$12&lt;&gt;0,$H27&gt;0,OR(AUTOEVENTO&lt;&gt;"manual",$M27&lt;&gt;1)),
IF(Import.TipoArredondamento&lt;&gt;"TransfereGOV",
ROUND(OFFSET($P27,0,AM$13),15-13*ORÇAMENTO!$AF$7)/$H27*OFFSET(ORÇAMENTO!$X$15,ROW(AM27)-ROW(AM$15),0),
ROUND(ROUND(OFFSET($P27,0,AM$13),15-13*ORÇAMENTO!$AF$7)*OFFSET(ORÇAMENTO!$W$15,ROW(AM27)-ROW(AM$15),0),15-13*ORÇAMENTO!$AF$11)),0)</f>
        <v>0</v>
      </c>
      <c r="AN27" s="631">
        <f ca="1">IF(AND($D27="Serviço",AN$12&lt;&gt;0,$H27&gt;0,OR(AUTOEVENTO&lt;&gt;"manual",$M27&lt;&gt;1)),
IF(Import.TipoArredondamento&lt;&gt;"TransfereGOV",
ROUND(OFFSET($P27,0,AN$13),15-13*ORÇAMENTO!$AF$7)/$H27*OFFSET(ORÇAMENTO!$X$15,ROW(AN27)-ROW(AN$15),0),
ROUND(ROUND(OFFSET($P27,0,AN$13),15-13*ORÇAMENTO!$AF$7)*OFFSET(ORÇAMENTO!$W$15,ROW(AN27)-ROW(AN$15),0),15-13*ORÇAMENTO!$AF$11)),0)</f>
        <v>0</v>
      </c>
      <c r="AO27" s="631">
        <f ca="1">IF(AND($D27="Serviço",AO$12&lt;&gt;0,$H27&gt;0,OR(AUTOEVENTO&lt;&gt;"manual",$M27&lt;&gt;1)),
IF(Import.TipoArredondamento&lt;&gt;"TransfereGOV",
ROUND(OFFSET($P27,0,AO$13),15-13*ORÇAMENTO!$AF$7)/$H27*OFFSET(ORÇAMENTO!$X$15,ROW(AO27)-ROW(AO$15),0),
ROUND(ROUND(OFFSET($P27,0,AO$13),15-13*ORÇAMENTO!$AF$7)*OFFSET(ORÇAMENTO!$W$15,ROW(AO27)-ROW(AO$15),0),15-13*ORÇAMENTO!$AF$11)),0)</f>
        <v>0</v>
      </c>
      <c r="AP27" s="631">
        <f ca="1">IF(AND($D27="Serviço",AP$12&lt;&gt;0,$H27&gt;0,OR(AUTOEVENTO&lt;&gt;"manual",$M27&lt;&gt;1)),
IF(Import.TipoArredondamento&lt;&gt;"TransfereGOV",
ROUND(OFFSET($P27,0,AP$13),15-13*ORÇAMENTO!$AF$7)/$H27*OFFSET(ORÇAMENTO!$X$15,ROW(AP27)-ROW(AP$15),0),
ROUND(ROUND(OFFSET($P27,0,AP$13),15-13*ORÇAMENTO!$AF$7)*OFFSET(ORÇAMENTO!$W$15,ROW(AP27)-ROW(AP$15),0),15-13*ORÇAMENTO!$AF$11)),0)</f>
        <v>0</v>
      </c>
      <c r="AQ27" s="631">
        <f ca="1">IF(AND($D27="Serviço",AQ$12&lt;&gt;0,$H27&gt;0,OR(AUTOEVENTO&lt;&gt;"manual",$M27&lt;&gt;1)),
IF(Import.TipoArredondamento&lt;&gt;"TransfereGOV",
ROUND(OFFSET($P27,0,AQ$13),15-13*ORÇAMENTO!$AF$7)/$H27*OFFSET(ORÇAMENTO!$X$15,ROW(AQ27)-ROW(AQ$15),0),
ROUND(ROUND(OFFSET($P27,0,AQ$13),15-13*ORÇAMENTO!$AF$7)*OFFSET(ORÇAMENTO!$W$15,ROW(AQ27)-ROW(AQ$15),0),15-13*ORÇAMENTO!$AF$11)),0)</f>
        <v>0</v>
      </c>
      <c r="AR27" s="631">
        <f ca="1">IF(AND($D27="Serviço",AR$12&lt;&gt;0,$H27&gt;0,OR(AUTOEVENTO&lt;&gt;"manual",$M27&lt;&gt;1)),
IF(Import.TipoArredondamento&lt;&gt;"TransfereGOV",
ROUND(OFFSET($P27,0,AR$13),15-13*ORÇAMENTO!$AF$7)/$H27*OFFSET(ORÇAMENTO!$X$15,ROW(AR27)-ROW(AR$15),0),
ROUND(ROUND(OFFSET($P27,0,AR$13),15-13*ORÇAMENTO!$AF$7)*OFFSET(ORÇAMENTO!$W$15,ROW(AR27)-ROW(AR$15),0),15-13*ORÇAMENTO!$AF$11)),0)</f>
        <v>0</v>
      </c>
      <c r="AS27" s="632">
        <f ca="1">IF(AND($D27="Serviço",AS$12&lt;&gt;0,$H27&gt;0,OR(AUTOEVENTO&lt;&gt;"manual",$M27&lt;&gt;1)),
IF(Import.TipoArredondamento&lt;&gt;"TransfereGOV",
ROUND(OFFSET($P27,0,AS$13),15-13*ORÇAMENTO!$AF$7)/$H27*OFFSET(ORÇAMENTO!$X$15,ROW(AS27)-ROW(AS$15),0),
ROUND(ROUND(OFFSET($P27,0,AS$13),15-13*ORÇAMENTO!$AF$7)*OFFSET(ORÇAMENTO!$W$15,ROW(AS27)-ROW(AS$15),0),15-13*ORÇAMENTO!$AF$11)),0)</f>
        <v>0</v>
      </c>
      <c r="AT27" s="631">
        <f ca="1">IF(AND($D27="Serviço",AT$12&lt;&gt;0,$H27&gt;0,OR(AUTOEVENTO&lt;&gt;"manual",$M27&lt;&gt;1)),
IF(Import.TipoArredondamento&lt;&gt;"TransfereGOV",
ROUND(OFFSET($P27,0,AT$13),15-13*ORÇAMENTO!$AF$7)/$H27*OFFSET(ORÇAMENTO!$X$15,ROW(AT27)-ROW(AT$15),0),
ROUND(ROUND(OFFSET($P27,0,AT$13),15-13*ORÇAMENTO!$AF$7)*OFFSET(ORÇAMENTO!$W$15,ROW(AT27)-ROW(AT$15),0),15-13*ORÇAMENTO!$AF$11)),0)</f>
        <v>0</v>
      </c>
      <c r="AU27" s="631">
        <f ca="1">IF(AND($D27="Serviço",AU$12&lt;&gt;0,$H27&gt;0,OR(AUTOEVENTO&lt;&gt;"manual",$M27&lt;&gt;1)),
IF(Import.TipoArredondamento&lt;&gt;"TransfereGOV",
ROUND(OFFSET($P27,0,AU$13),15-13*ORÇAMENTO!$AF$7)/$H27*OFFSET(ORÇAMENTO!$X$15,ROW(AU27)-ROW(AU$15),0),
ROUND(ROUND(OFFSET($P27,0,AU$13),15-13*ORÇAMENTO!$AF$7)*OFFSET(ORÇAMENTO!$W$15,ROW(AU27)-ROW(AU$15),0),15-13*ORÇAMENTO!$AF$11)),0)</f>
        <v>0</v>
      </c>
      <c r="AV27" s="631">
        <f ca="1">IF(AND($D27="Serviço",AV$12&lt;&gt;0,$H27&gt;0,OR(AUTOEVENTO&lt;&gt;"manual",$M27&lt;&gt;1)),
IF(Import.TipoArredondamento&lt;&gt;"TransfereGOV",
ROUND(OFFSET($P27,0,AV$13),15-13*ORÇAMENTO!$AF$7)/$H27*OFFSET(ORÇAMENTO!$X$15,ROW(AV27)-ROW(AV$15),0),
ROUND(ROUND(OFFSET($P27,0,AV$13),15-13*ORÇAMENTO!$AF$7)*OFFSET(ORÇAMENTO!$W$15,ROW(AV27)-ROW(AV$15),0),15-13*ORÇAMENTO!$AF$11)),0)</f>
        <v>0</v>
      </c>
      <c r="AW27" s="631">
        <f ca="1">IF(AND($D27="Serviço",AW$12&lt;&gt;0,$H27&gt;0,OR(AUTOEVENTO&lt;&gt;"manual",$M27&lt;&gt;1)),
IF(Import.TipoArredondamento&lt;&gt;"TransfereGOV",
ROUND(OFFSET($P27,0,AW$13),15-13*ORÇAMENTO!$AF$7)/$H27*OFFSET(ORÇAMENTO!$X$15,ROW(AW27)-ROW(AW$15),0),
ROUND(ROUND(OFFSET($P27,0,AW$13),15-13*ORÇAMENTO!$AF$7)*OFFSET(ORÇAMENTO!$W$15,ROW(AW27)-ROW(AW$15),0),15-13*ORÇAMENTO!$AF$11)),0)</f>
        <v>0</v>
      </c>
      <c r="AX27" s="631">
        <f ca="1">IF(AND($D27="Serviço",AX$12&lt;&gt;0,$H27&gt;0,OR(AUTOEVENTO&lt;&gt;"manual",$M27&lt;&gt;1)),
IF(Import.TipoArredondamento&lt;&gt;"TransfereGOV",
ROUND(OFFSET($P27,0,AX$13),15-13*ORÇAMENTO!$AF$7)/$H27*OFFSET(ORÇAMENTO!$X$15,ROW(AX27)-ROW(AX$15),0),
ROUND(ROUND(OFFSET($P27,0,AX$13),15-13*ORÇAMENTO!$AF$7)*OFFSET(ORÇAMENTO!$W$15,ROW(AX27)-ROW(AX$15),0),15-13*ORÇAMENTO!$AF$11)),0)</f>
        <v>0</v>
      </c>
      <c r="AY27" s="631">
        <f ca="1">IF(AND($D27="Serviço",AY$12&lt;&gt;0,$H27&gt;0,OR(AUTOEVENTO&lt;&gt;"manual",$M27&lt;&gt;1)),
IF(Import.TipoArredondamento&lt;&gt;"TransfereGOV",
ROUND(OFFSET($P27,0,AY$13),15-13*ORÇAMENTO!$AF$7)/$H27*OFFSET(ORÇAMENTO!$X$15,ROW(AY27)-ROW(AY$15),0),
ROUND(ROUND(OFFSET($P27,0,AY$13),15-13*ORÇAMENTO!$AF$7)*OFFSET(ORÇAMENTO!$W$15,ROW(AY27)-ROW(AY$15),0),15-13*ORÇAMENTO!$AF$11)),0)</f>
        <v>0</v>
      </c>
      <c r="AZ27" s="631">
        <f ca="1">IF(AND($D27="Serviço",AZ$12&lt;&gt;0,$H27&gt;0,OR(AUTOEVENTO&lt;&gt;"manual",$M27&lt;&gt;1)),
IF(Import.TipoArredondamento&lt;&gt;"TransfereGOV",
ROUND(OFFSET($P27,0,AZ$13),15-13*ORÇAMENTO!$AF$7)/$H27*OFFSET(ORÇAMENTO!$X$15,ROW(AZ27)-ROW(AZ$15),0),
ROUND(ROUND(OFFSET($P27,0,AZ$13),15-13*ORÇAMENTO!$AF$7)*OFFSET(ORÇAMENTO!$W$15,ROW(AZ27)-ROW(AZ$15),0),15-13*ORÇAMENTO!$AF$11)),0)</f>
        <v>0</v>
      </c>
      <c r="BA27" s="632">
        <f ca="1">IF(AND($D27="Serviço",BA$12&lt;&gt;0,$H27&gt;0,OR(AUTOEVENTO&lt;&gt;"manual",$M27&lt;&gt;1)),
IF(Import.TipoArredondamento&lt;&gt;"TransfereGOV",
ROUND(OFFSET($P27,0,BA$13),15-13*ORÇAMENTO!$AF$7)/$H27*OFFSET(ORÇAMENTO!$X$15,ROW(BA27)-ROW(BA$15),0),
ROUND(ROUND(OFFSET($P27,0,BA$13),15-13*ORÇAMENTO!$AF$7)*OFFSET(ORÇAMENTO!$W$15,ROW(BA27)-ROW(BA$15),0),15-13*ORÇAMENTO!$AF$11)),0)</f>
        <v>0</v>
      </c>
      <c r="BC27" s="216">
        <f ca="1">IF($D27&lt;&gt;"Serviço",0,IF(AND(AUTOEVENTO="Manual",$M27=1),0,IF(OFFSET(CRONOPLE!$F$14,$M27,BC$13)="",10^12,OFFSET(CRONOPLE!$F$14,$M27,BC$13))))</f>
        <v>1</v>
      </c>
      <c r="BD27" s="216">
        <f ca="1">IF($D27&lt;&gt;"Serviço",0,IF(AND(AUTOEVENTO="Manual",$M27=1),0,IF(OFFSET(CRONOPLE!$F$14,$M27,BD$13)="",10^12,OFFSET(CRONOPLE!$F$14,$M27,BD$13))))</f>
        <v>1</v>
      </c>
      <c r="BE27" s="216">
        <f ca="1">IF($D27&lt;&gt;"Serviço",0,IF(AND(AUTOEVENTO="Manual",$M27=1),0,IF(OFFSET(CRONOPLE!$F$14,$M27,BE$13)="",10^12,OFFSET(CRONOPLE!$F$14,$M27,BE$13))))</f>
        <v>2</v>
      </c>
      <c r="BF27" s="216">
        <f ca="1">IF($D27&lt;&gt;"Serviço",0,IF(AND(AUTOEVENTO="Manual",$M27=1),0,IF(OFFSET(CRONOPLE!$F$14,$M27,BF$13)="",10^12,OFFSET(CRONOPLE!$F$14,$M27,BF$13))))</f>
        <v>2</v>
      </c>
      <c r="BG27" s="216">
        <f ca="1">IF($D27&lt;&gt;"Serviço",0,IF(AND(AUTOEVENTO="Manual",$M27=1),0,IF(OFFSET(CRONOPLE!$F$14,$M27,BG$13)="",10^12,OFFSET(CRONOPLE!$F$14,$M27,BG$13))))</f>
        <v>3</v>
      </c>
      <c r="BH27" s="216">
        <f ca="1">IF($D27&lt;&gt;"Serviço",0,IF(AND(AUTOEVENTO="Manual",$M27=1),0,IF(OFFSET(CRONOPLE!$F$14,$M27,BH$13)="",10^12,OFFSET(CRONOPLE!$F$14,$M27,BH$13))))</f>
        <v>4</v>
      </c>
      <c r="BI27" s="216">
        <f ca="1">IF($D27&lt;&gt;"Serviço",0,IF(AND(AUTOEVENTO="Manual",$M27=1),0,IF(OFFSET(CRONOPLE!$F$14,$M27,BI$13)="",10^12,OFFSET(CRONOPLE!$F$14,$M27,BI$13))))</f>
        <v>4</v>
      </c>
      <c r="BJ27" s="216">
        <f ca="1">IF($D27&lt;&gt;"Serviço",0,IF(AND(AUTOEVENTO="Manual",$M27=1),0,IF(OFFSET(CRONOPLE!$F$14,$M27,BJ$13)="",10^12,OFFSET(CRONOPLE!$F$14,$M27,BJ$13))))</f>
        <v>4</v>
      </c>
      <c r="BK27" s="216">
        <f ca="1">IF($D27&lt;&gt;"Serviço",0,IF(AND(AUTOEVENTO="Manual",$M27=1),0,IF(OFFSET(CRONOPLE!$F$14,$M27,BK$13)="",10^12,OFFSET(CRONOPLE!$F$14,$M27,BK$13))))</f>
        <v>5</v>
      </c>
      <c r="BL27" s="216">
        <f ca="1">IF($D27&lt;&gt;"Serviço",0,IF(AND(AUTOEVENTO="Manual",$M27=1),0,IF(OFFSET(CRONOPLE!$F$14,$M27,BL$13)="",10^12,OFFSET(CRONOPLE!$F$14,$M27,BL$13))))</f>
        <v>5</v>
      </c>
      <c r="BM27" s="216">
        <f ca="1">IF($D27&lt;&gt;"Serviço",0,IF(AND(AUTOEVENTO="Manual",$M27=1),0,IF(OFFSET(CRONOPLE!$F$14,$M27,BM$13)="",10^12,OFFSET(CRONOPLE!$F$14,$M27,BM$13))))</f>
        <v>6</v>
      </c>
      <c r="BN27" s="216">
        <f ca="1">IF($D27&lt;&gt;"Serviço",0,IF(AND(AUTOEVENTO="Manual",$M27=1),0,IF(OFFSET(CRONOPLE!$F$14,$M27,BN$13)="",10^12,OFFSET(CRONOPLE!$F$14,$M27,BN$13))))</f>
        <v>6</v>
      </c>
      <c r="BO27" s="216">
        <f ca="1">IF($D27&lt;&gt;"Serviço",0,IF(AND(AUTOEVENTO="Manual",$M27=1),0,IF(OFFSET(CRONOPLE!$F$14,$M27,BO$13)="",10^12,OFFSET(CRONOPLE!$F$14,$M27,BO$13))))</f>
        <v>6</v>
      </c>
      <c r="BP27" s="216">
        <f ca="1">IF($D27&lt;&gt;"Serviço",0,IF(AND(AUTOEVENTO="Manual",$M27=1),0,IF(OFFSET(CRONOPLE!$F$14,$M27,BP$13)="",10^12,OFFSET(CRONOPLE!$F$14,$M27,BP$13))))</f>
        <v>1000000000000</v>
      </c>
      <c r="BQ27" s="216">
        <f ca="1">IF($D27&lt;&gt;"Serviço",0,IF(AND(AUTOEVENTO="Manual",$M27=1),0,IF(OFFSET(CRONOPLE!$F$14,$M27,BQ$13)="",10^12,OFFSET(CRONOPLE!$F$14,$M27,BQ$13))))</f>
        <v>1000000000000</v>
      </c>
      <c r="BR27" s="216">
        <f ca="1">IF($D27&lt;&gt;"Serviço",0,IF(AND(AUTOEVENTO="Manual",$M27=1),0,IF(OFFSET(CRONOPLE!$F$14,$M27,BR$13)="",10^12,OFFSET(CRONOPLE!$F$14,$M27,BR$13))))</f>
        <v>1000000000000</v>
      </c>
      <c r="BS27" s="216">
        <f ca="1">IF($D27&lt;&gt;"Serviço",0,IF(AND(AUTOEVENTO="Manual",$M27=1),0,IF(OFFSET(CRONOPLE!$F$14,$M27,BS$13)="",10^12,OFFSET(CRONOPLE!$F$14,$M27,BS$13))))</f>
        <v>1000000000000</v>
      </c>
      <c r="BT27" s="216">
        <f ca="1">IF($D27&lt;&gt;"Serviço",0,IF(AND(AUTOEVENTO="Manual",$M27=1),0,IF(OFFSET(CRONOPLE!$F$14,$M27,BT$13)="",10^12,OFFSET(CRONOPLE!$F$14,$M27,BT$13))))</f>
        <v>1000000000000</v>
      </c>
      <c r="BV27" s="217">
        <f ca="1">IF($D27&lt;&gt;"Serviço",0,IF(OR(AND(AUTOEVENTO="Manual",$M27=1),$M27&gt;(ROW(PLE.lastrow)-ROW(PLE.firstrow))),0,IF(OFFSET(PLE!$G$14,$M27,BV$13)="",10^12,OFFSET(PLE!$G$14,$M27,BV$13))))</f>
        <v>1000000000000</v>
      </c>
      <c r="BW27" s="217">
        <f ca="1">IF($D27&lt;&gt;"Serviço",0,IF(OR(AND(AUTOEVENTO="Manual",$M27=1),$M27&gt;(ROW(PLE.lastrow)-ROW(PLE.firstrow))),0,IF(OFFSET(PLE!$G$14,$M27,BW$13)="",10^12,OFFSET(PLE!$G$14,$M27,BW$13))))</f>
        <v>1000000000000</v>
      </c>
      <c r="BX27" s="217">
        <f ca="1">IF($D27&lt;&gt;"Serviço",0,IF(OR(AND(AUTOEVENTO="Manual",$M27=1),$M27&gt;(ROW(PLE.lastrow)-ROW(PLE.firstrow))),0,IF(OFFSET(PLE!$G$14,$M27,BX$13)="",10^12,OFFSET(PLE!$G$14,$M27,BX$13))))</f>
        <v>1000000000000</v>
      </c>
      <c r="BY27" s="217">
        <f ca="1">IF($D27&lt;&gt;"Serviço",0,IF(OR(AND(AUTOEVENTO="Manual",$M27=1),$M27&gt;(ROW(PLE.lastrow)-ROW(PLE.firstrow))),0,IF(OFFSET(PLE!$G$14,$M27,BY$13)="",10^12,OFFSET(PLE!$G$14,$M27,BY$13))))</f>
        <v>1000000000000</v>
      </c>
      <c r="BZ27" s="217">
        <f ca="1">IF($D27&lt;&gt;"Serviço",0,IF(OR(AND(AUTOEVENTO="Manual",$M27=1),$M27&gt;(ROW(PLE.lastrow)-ROW(PLE.firstrow))),0,IF(OFFSET(PLE!$G$14,$M27,BZ$13)="",10^12,OFFSET(PLE!$G$14,$M27,BZ$13))))</f>
        <v>1000000000000</v>
      </c>
      <c r="CA27" s="217">
        <f ca="1">IF($D27&lt;&gt;"Serviço",0,IF(OR(AND(AUTOEVENTO="Manual",$M27=1),$M27&gt;(ROW(PLE.lastrow)-ROW(PLE.firstrow))),0,IF(OFFSET(PLE!$G$14,$M27,CA$13)="",10^12,OFFSET(PLE!$G$14,$M27,CA$13))))</f>
        <v>1000000000000</v>
      </c>
      <c r="CB27" s="217">
        <f ca="1">IF($D27&lt;&gt;"Serviço",0,IF(OR(AND(AUTOEVENTO="Manual",$M27=1),$M27&gt;(ROW(PLE.lastrow)-ROW(PLE.firstrow))),0,IF(OFFSET(PLE!$G$14,$M27,CB$13)="",10^12,OFFSET(PLE!$G$14,$M27,CB$13))))</f>
        <v>1000000000000</v>
      </c>
      <c r="CC27" s="217">
        <f ca="1">IF($D27&lt;&gt;"Serviço",0,IF(OR(AND(AUTOEVENTO="Manual",$M27=1),$M27&gt;(ROW(PLE.lastrow)-ROW(PLE.firstrow))),0,IF(OFFSET(PLE!$G$14,$M27,CC$13)="",10^12,OFFSET(PLE!$G$14,$M27,CC$13))))</f>
        <v>1000000000000</v>
      </c>
      <c r="CD27" s="217">
        <f ca="1">IF($D27&lt;&gt;"Serviço",0,IF(OR(AND(AUTOEVENTO="Manual",$M27=1),$M27&gt;(ROW(PLE.lastrow)-ROW(PLE.firstrow))),0,IF(OFFSET(PLE!$G$14,$M27,CD$13)="",10^12,OFFSET(PLE!$G$14,$M27,CD$13))))</f>
        <v>1000000000000</v>
      </c>
      <c r="CE27" s="217">
        <f ca="1">IF($D27&lt;&gt;"Serviço",0,IF(OR(AND(AUTOEVENTO="Manual",$M27=1),$M27&gt;(ROW(PLE.lastrow)-ROW(PLE.firstrow))),0,IF(OFFSET(PLE!$G$14,$M27,CE$13)="",10^12,OFFSET(PLE!$G$14,$M27,CE$13))))</f>
        <v>1000000000000</v>
      </c>
      <c r="CF27" s="217">
        <f ca="1">IF($D27&lt;&gt;"Serviço",0,IF(OR(AND(AUTOEVENTO="Manual",$M27=1),$M27&gt;(ROW(PLE.lastrow)-ROW(PLE.firstrow))),0,IF(OFFSET(PLE!$G$14,$M27,CF$13)="",10^12,OFFSET(PLE!$G$14,$M27,CF$13))))</f>
        <v>1000000000000</v>
      </c>
      <c r="CG27" s="217">
        <f ca="1">IF($D27&lt;&gt;"Serviço",0,IF(OR(AND(AUTOEVENTO="Manual",$M27=1),$M27&gt;(ROW(PLE.lastrow)-ROW(PLE.firstrow))),0,IF(OFFSET(PLE!$G$14,$M27,CG$13)="",10^12,OFFSET(PLE!$G$14,$M27,CG$13))))</f>
        <v>1000000000000</v>
      </c>
      <c r="CH27" s="217">
        <f ca="1">IF($D27&lt;&gt;"Serviço",0,IF(OR(AND(AUTOEVENTO="Manual",$M27=1),$M27&gt;(ROW(PLE.lastrow)-ROW(PLE.firstrow))),0,IF(OFFSET(PLE!$G$14,$M27,CH$13)="",10^12,OFFSET(PLE!$G$14,$M27,CH$13))))</f>
        <v>1000000000000</v>
      </c>
      <c r="CI27" s="217">
        <f ca="1">IF($D27&lt;&gt;"Serviço",0,IF(OR(AND(AUTOEVENTO="Manual",$M27=1),$M27&gt;(ROW(PLE.lastrow)-ROW(PLE.firstrow))),0,IF(OFFSET(PLE!$G$14,$M27,CI$13)="",10^12,OFFSET(PLE!$G$14,$M27,CI$13))))</f>
        <v>1000000000000</v>
      </c>
      <c r="CJ27" s="217">
        <f ca="1">IF($D27&lt;&gt;"Serviço",0,IF(OR(AND(AUTOEVENTO="Manual",$M27=1),$M27&gt;(ROW(PLE.lastrow)-ROW(PLE.firstrow))),0,IF(OFFSET(PLE!$G$14,$M27,CJ$13)="",10^12,OFFSET(PLE!$G$14,$M27,CJ$13))))</f>
        <v>1000000000000</v>
      </c>
      <c r="CK27" s="217">
        <f ca="1">IF($D27&lt;&gt;"Serviço",0,IF(OR(AND(AUTOEVENTO="Manual",$M27=1),$M27&gt;(ROW(PLE.lastrow)-ROW(PLE.firstrow))),0,IF(OFFSET(PLE!$G$14,$M27,CK$13)="",10^12,OFFSET(PLE!$G$14,$M27,CK$13))))</f>
        <v>1000000000000</v>
      </c>
      <c r="CL27" s="217">
        <f ca="1">IF($D27&lt;&gt;"Serviço",0,IF(OR(AND(AUTOEVENTO="Manual",$M27=1),$M27&gt;(ROW(PLE.lastrow)-ROW(PLE.firstrow))),0,IF(OFFSET(PLE!$G$14,$M27,CL$13)="",10^12,OFFSET(PLE!$G$14,$M27,CL$13))))</f>
        <v>1000000000000</v>
      </c>
      <c r="CM27" s="217">
        <f ca="1">IF($D27&lt;&gt;"Serviço",0,IF(OR(AND(AUTOEVENTO="Manual",$M27=1),$M27&gt;(ROW(PLE.lastrow)-ROW(PLE.firstrow))),0,IF(OFFSET(PLE!$G$14,$M27,CM$13)="",10^12,OFFSET(PLE!$G$14,$M27,CM$13))))</f>
        <v>1000000000000</v>
      </c>
    </row>
    <row r="28" spans="1:91" ht="25.5" x14ac:dyDescent="0.2">
      <c r="A28" s="9" t="str">
        <f t="shared" ca="1" si="9"/>
        <v>5</v>
      </c>
      <c r="B28" s="9" t="str">
        <f ca="1">OFFSET(ORÇAMENTO!C$15,ROW(B28)-ROW(B$15),0)</f>
        <v>S</v>
      </c>
      <c r="C28" s="9" t="str">
        <f ca="1">OFFSET(ORÇAMENTO!L$15,ROW(C28)-ROW(C$15),0)</f>
        <v/>
      </c>
      <c r="D28" s="146" t="str">
        <f ca="1">OFFSET(ORÇAMENTO!N$15,ROW(D28)-ROW(D$15),0)</f>
        <v>Serviço</v>
      </c>
      <c r="E28" s="206" t="str">
        <f ca="1">OFFSET(ORÇAMENTO!O$15,ROW(E28)-ROW(E$15),0)</f>
        <v>-</v>
      </c>
      <c r="F28" s="207" t="str">
        <f ca="1">OFFSET(ORÇAMENTO!R$15,ROW(F28)-ROW(F$15),0)</f>
        <v>(abra o arquivo 'Referência 12-2023.xlsm)</v>
      </c>
      <c r="G28" s="208" t="str">
        <f ca="1">IF($D28&lt;&gt;"Serviço","",OFFSET(ORÇAMENTO!S$15,ROW(G28)-ROW(G$15),0))</f>
        <v>-</v>
      </c>
      <c r="H28" s="152">
        <f ca="1">IF($D28&lt;&gt;"Serviço",0,IF(ACOMPANHAMENTO="BM",ROUND(OFFSET(ORÇAMENTO!AJ$15,ROW(H28)-ROW(H$15),0),15-13*ORÇAMENTO!$AF$7),SUMPRODUCT(($Q$12:$AI$12&lt;&gt;"")*ROUND($Q28:$AI28,15-13*ORÇAMENTO!$AF$7))))</f>
        <v>4733.87</v>
      </c>
      <c r="I28" s="649" t="s">
        <v>504</v>
      </c>
      <c r="K28" s="209"/>
      <c r="L28" s="210" t="s">
        <v>255</v>
      </c>
      <c r="M28" s="211">
        <f ca="1">IF($D28&lt;&gt;"Serviço","",IF(AUTOEVENTO="manual",$A28,IF(ISERROR(MATCH($A28,$A$15:OFFSET($A28,-1,0),0)),MAX($M$15:OFFSET(M28,-1,0))+1,INDEX($M$15:OFFSET(M28,-1,0),MATCH($A28,$A$15:OFFSET($A28,-1,0),0)))))</f>
        <v>3</v>
      </c>
      <c r="N28" s="212" t="str">
        <f ca="1">IF($D28&lt;&gt;"Serviço","",IF(AUTOEVENTO="Manual",IF($A28=0,"&lt;-- defina o número do agrupador",OFFSET(EVENTOS!$D$14,$A28,0)),OFFSET($F$15,$A28,0)))</f>
        <v xml:space="preserve">TERRAPLANAGEM </v>
      </c>
      <c r="O28" s="213"/>
      <c r="Q28" s="213">
        <v>77.22</v>
      </c>
      <c r="R28" s="214">
        <v>404.53</v>
      </c>
      <c r="S28" s="214">
        <v>272.79000000000002</v>
      </c>
      <c r="T28" s="214">
        <v>616.85</v>
      </c>
      <c r="U28" s="214">
        <v>1219.77</v>
      </c>
      <c r="V28" s="214">
        <v>67.44</v>
      </c>
      <c r="W28" s="214">
        <v>69.91</v>
      </c>
      <c r="X28" s="214">
        <v>612.91999999999996</v>
      </c>
      <c r="Y28" s="215">
        <v>232.43</v>
      </c>
      <c r="Z28" s="214">
        <v>633.01</v>
      </c>
      <c r="AA28" s="214">
        <v>477.6</v>
      </c>
      <c r="AB28" s="214">
        <v>49.4</v>
      </c>
      <c r="AC28" s="214"/>
      <c r="AD28" s="214"/>
      <c r="AE28" s="214"/>
      <c r="AF28" s="214"/>
      <c r="AG28" s="214"/>
      <c r="AH28" s="215"/>
      <c r="AJ28" s="630">
        <f ca="1">IF(AND($D28="Serviço",AJ$12&lt;&gt;0,$H28&gt;0,OR(AUTOEVENTO&lt;&gt;"manual",$M28&lt;&gt;1)),
IF(Import.TipoArredondamento&lt;&gt;"TransfereGOV",
ROUND(OFFSET($P28,0,AJ$13),15-13*ORÇAMENTO!$AF$7)/$H28*OFFSET(ORÇAMENTO!$X$15,ROW(AJ28)-ROW(AJ$15),0),
ROUND(ROUND(OFFSET($P28,0,AJ$13),15-13*ORÇAMENTO!$AF$7)*OFFSET(ORÇAMENTO!$W$15,ROW(AJ28)-ROW(AJ$15),0),15-13*ORÇAMENTO!$AF$11)),0)</f>
        <v>0</v>
      </c>
      <c r="AK28" s="631">
        <f ca="1">IF(AND($D28="Serviço",AK$12&lt;&gt;0,$H28&gt;0,OR(AUTOEVENTO&lt;&gt;"manual",$M28&lt;&gt;1)),
IF(Import.TipoArredondamento&lt;&gt;"TransfereGOV",
ROUND(OFFSET($P28,0,AK$13),15-13*ORÇAMENTO!$AF$7)/$H28*OFFSET(ORÇAMENTO!$X$15,ROW(AK28)-ROW(AK$15),0),
ROUND(ROUND(OFFSET($P28,0,AK$13),15-13*ORÇAMENTO!$AF$7)*OFFSET(ORÇAMENTO!$W$15,ROW(AK28)-ROW(AK$15),0),15-13*ORÇAMENTO!$AF$11)),0)</f>
        <v>0</v>
      </c>
      <c r="AL28" s="631">
        <f ca="1">IF(AND($D28="Serviço",AL$12&lt;&gt;0,$H28&gt;0,OR(AUTOEVENTO&lt;&gt;"manual",$M28&lt;&gt;1)),
IF(Import.TipoArredondamento&lt;&gt;"TransfereGOV",
ROUND(OFFSET($P28,0,AL$13),15-13*ORÇAMENTO!$AF$7)/$H28*OFFSET(ORÇAMENTO!$X$15,ROW(AL28)-ROW(AL$15),0),
ROUND(ROUND(OFFSET($P28,0,AL$13),15-13*ORÇAMENTO!$AF$7)*OFFSET(ORÇAMENTO!$W$15,ROW(AL28)-ROW(AL$15),0),15-13*ORÇAMENTO!$AF$11)),0)</f>
        <v>0</v>
      </c>
      <c r="AM28" s="631">
        <f ca="1">IF(AND($D28="Serviço",AM$12&lt;&gt;0,$H28&gt;0,OR(AUTOEVENTO&lt;&gt;"manual",$M28&lt;&gt;1)),
IF(Import.TipoArredondamento&lt;&gt;"TransfereGOV",
ROUND(OFFSET($P28,0,AM$13),15-13*ORÇAMENTO!$AF$7)/$H28*OFFSET(ORÇAMENTO!$X$15,ROW(AM28)-ROW(AM$15),0),
ROUND(ROUND(OFFSET($P28,0,AM$13),15-13*ORÇAMENTO!$AF$7)*OFFSET(ORÇAMENTO!$W$15,ROW(AM28)-ROW(AM$15),0),15-13*ORÇAMENTO!$AF$11)),0)</f>
        <v>0</v>
      </c>
      <c r="AN28" s="631">
        <f ca="1">IF(AND($D28="Serviço",AN$12&lt;&gt;0,$H28&gt;0,OR(AUTOEVENTO&lt;&gt;"manual",$M28&lt;&gt;1)),
IF(Import.TipoArredondamento&lt;&gt;"TransfereGOV",
ROUND(OFFSET($P28,0,AN$13),15-13*ORÇAMENTO!$AF$7)/$H28*OFFSET(ORÇAMENTO!$X$15,ROW(AN28)-ROW(AN$15),0),
ROUND(ROUND(OFFSET($P28,0,AN$13),15-13*ORÇAMENTO!$AF$7)*OFFSET(ORÇAMENTO!$W$15,ROW(AN28)-ROW(AN$15),0),15-13*ORÇAMENTO!$AF$11)),0)</f>
        <v>0</v>
      </c>
      <c r="AO28" s="631">
        <f ca="1">IF(AND($D28="Serviço",AO$12&lt;&gt;0,$H28&gt;0,OR(AUTOEVENTO&lt;&gt;"manual",$M28&lt;&gt;1)),
IF(Import.TipoArredondamento&lt;&gt;"TransfereGOV",
ROUND(OFFSET($P28,0,AO$13),15-13*ORÇAMENTO!$AF$7)/$H28*OFFSET(ORÇAMENTO!$X$15,ROW(AO28)-ROW(AO$15),0),
ROUND(ROUND(OFFSET($P28,0,AO$13),15-13*ORÇAMENTO!$AF$7)*OFFSET(ORÇAMENTO!$W$15,ROW(AO28)-ROW(AO$15),0),15-13*ORÇAMENTO!$AF$11)),0)</f>
        <v>0</v>
      </c>
      <c r="AP28" s="631">
        <f ca="1">IF(AND($D28="Serviço",AP$12&lt;&gt;0,$H28&gt;0,OR(AUTOEVENTO&lt;&gt;"manual",$M28&lt;&gt;1)),
IF(Import.TipoArredondamento&lt;&gt;"TransfereGOV",
ROUND(OFFSET($P28,0,AP$13),15-13*ORÇAMENTO!$AF$7)/$H28*OFFSET(ORÇAMENTO!$X$15,ROW(AP28)-ROW(AP$15),0),
ROUND(ROUND(OFFSET($P28,0,AP$13),15-13*ORÇAMENTO!$AF$7)*OFFSET(ORÇAMENTO!$W$15,ROW(AP28)-ROW(AP$15),0),15-13*ORÇAMENTO!$AF$11)),0)</f>
        <v>0</v>
      </c>
      <c r="AQ28" s="631">
        <f ca="1">IF(AND($D28="Serviço",AQ$12&lt;&gt;0,$H28&gt;0,OR(AUTOEVENTO&lt;&gt;"manual",$M28&lt;&gt;1)),
IF(Import.TipoArredondamento&lt;&gt;"TransfereGOV",
ROUND(OFFSET($P28,0,AQ$13),15-13*ORÇAMENTO!$AF$7)/$H28*OFFSET(ORÇAMENTO!$X$15,ROW(AQ28)-ROW(AQ$15),0),
ROUND(ROUND(OFFSET($P28,0,AQ$13),15-13*ORÇAMENTO!$AF$7)*OFFSET(ORÇAMENTO!$W$15,ROW(AQ28)-ROW(AQ$15),0),15-13*ORÇAMENTO!$AF$11)),0)</f>
        <v>0</v>
      </c>
      <c r="AR28" s="631">
        <f ca="1">IF(AND($D28="Serviço",AR$12&lt;&gt;0,$H28&gt;0,OR(AUTOEVENTO&lt;&gt;"manual",$M28&lt;&gt;1)),
IF(Import.TipoArredondamento&lt;&gt;"TransfereGOV",
ROUND(OFFSET($P28,0,AR$13),15-13*ORÇAMENTO!$AF$7)/$H28*OFFSET(ORÇAMENTO!$X$15,ROW(AR28)-ROW(AR$15),0),
ROUND(ROUND(OFFSET($P28,0,AR$13),15-13*ORÇAMENTO!$AF$7)*OFFSET(ORÇAMENTO!$W$15,ROW(AR28)-ROW(AR$15),0),15-13*ORÇAMENTO!$AF$11)),0)</f>
        <v>0</v>
      </c>
      <c r="AS28" s="632">
        <f ca="1">IF(AND($D28="Serviço",AS$12&lt;&gt;0,$H28&gt;0,OR(AUTOEVENTO&lt;&gt;"manual",$M28&lt;&gt;1)),
IF(Import.TipoArredondamento&lt;&gt;"TransfereGOV",
ROUND(OFFSET($P28,0,AS$13),15-13*ORÇAMENTO!$AF$7)/$H28*OFFSET(ORÇAMENTO!$X$15,ROW(AS28)-ROW(AS$15),0),
ROUND(ROUND(OFFSET($P28,0,AS$13),15-13*ORÇAMENTO!$AF$7)*OFFSET(ORÇAMENTO!$W$15,ROW(AS28)-ROW(AS$15),0),15-13*ORÇAMENTO!$AF$11)),0)</f>
        <v>0</v>
      </c>
      <c r="AT28" s="631">
        <f ca="1">IF(AND($D28="Serviço",AT$12&lt;&gt;0,$H28&gt;0,OR(AUTOEVENTO&lt;&gt;"manual",$M28&lt;&gt;1)),
IF(Import.TipoArredondamento&lt;&gt;"TransfereGOV",
ROUND(OFFSET($P28,0,AT$13),15-13*ORÇAMENTO!$AF$7)/$H28*OFFSET(ORÇAMENTO!$X$15,ROW(AT28)-ROW(AT$15),0),
ROUND(ROUND(OFFSET($P28,0,AT$13),15-13*ORÇAMENTO!$AF$7)*OFFSET(ORÇAMENTO!$W$15,ROW(AT28)-ROW(AT$15),0),15-13*ORÇAMENTO!$AF$11)),0)</f>
        <v>0</v>
      </c>
      <c r="AU28" s="631">
        <f ca="1">IF(AND($D28="Serviço",AU$12&lt;&gt;0,$H28&gt;0,OR(AUTOEVENTO&lt;&gt;"manual",$M28&lt;&gt;1)),
IF(Import.TipoArredondamento&lt;&gt;"TransfereGOV",
ROUND(OFFSET($P28,0,AU$13),15-13*ORÇAMENTO!$AF$7)/$H28*OFFSET(ORÇAMENTO!$X$15,ROW(AU28)-ROW(AU$15),0),
ROUND(ROUND(OFFSET($P28,0,AU$13),15-13*ORÇAMENTO!$AF$7)*OFFSET(ORÇAMENTO!$W$15,ROW(AU28)-ROW(AU$15),0),15-13*ORÇAMENTO!$AF$11)),0)</f>
        <v>0</v>
      </c>
      <c r="AV28" s="631">
        <f ca="1">IF(AND($D28="Serviço",AV$12&lt;&gt;0,$H28&gt;0,OR(AUTOEVENTO&lt;&gt;"manual",$M28&lt;&gt;1)),
IF(Import.TipoArredondamento&lt;&gt;"TransfereGOV",
ROUND(OFFSET($P28,0,AV$13),15-13*ORÇAMENTO!$AF$7)/$H28*OFFSET(ORÇAMENTO!$X$15,ROW(AV28)-ROW(AV$15),0),
ROUND(ROUND(OFFSET($P28,0,AV$13),15-13*ORÇAMENTO!$AF$7)*OFFSET(ORÇAMENTO!$W$15,ROW(AV28)-ROW(AV$15),0),15-13*ORÇAMENTO!$AF$11)),0)</f>
        <v>0</v>
      </c>
      <c r="AW28" s="631">
        <f ca="1">IF(AND($D28="Serviço",AW$12&lt;&gt;0,$H28&gt;0,OR(AUTOEVENTO&lt;&gt;"manual",$M28&lt;&gt;1)),
IF(Import.TipoArredondamento&lt;&gt;"TransfereGOV",
ROUND(OFFSET($P28,0,AW$13),15-13*ORÇAMENTO!$AF$7)/$H28*OFFSET(ORÇAMENTO!$X$15,ROW(AW28)-ROW(AW$15),0),
ROUND(ROUND(OFFSET($P28,0,AW$13),15-13*ORÇAMENTO!$AF$7)*OFFSET(ORÇAMENTO!$W$15,ROW(AW28)-ROW(AW$15),0),15-13*ORÇAMENTO!$AF$11)),0)</f>
        <v>0</v>
      </c>
      <c r="AX28" s="631">
        <f ca="1">IF(AND($D28="Serviço",AX$12&lt;&gt;0,$H28&gt;0,OR(AUTOEVENTO&lt;&gt;"manual",$M28&lt;&gt;1)),
IF(Import.TipoArredondamento&lt;&gt;"TransfereGOV",
ROUND(OFFSET($P28,0,AX$13),15-13*ORÇAMENTO!$AF$7)/$H28*OFFSET(ORÇAMENTO!$X$15,ROW(AX28)-ROW(AX$15),0),
ROUND(ROUND(OFFSET($P28,0,AX$13),15-13*ORÇAMENTO!$AF$7)*OFFSET(ORÇAMENTO!$W$15,ROW(AX28)-ROW(AX$15),0),15-13*ORÇAMENTO!$AF$11)),0)</f>
        <v>0</v>
      </c>
      <c r="AY28" s="631">
        <f ca="1">IF(AND($D28="Serviço",AY$12&lt;&gt;0,$H28&gt;0,OR(AUTOEVENTO&lt;&gt;"manual",$M28&lt;&gt;1)),
IF(Import.TipoArredondamento&lt;&gt;"TransfereGOV",
ROUND(OFFSET($P28,0,AY$13),15-13*ORÇAMENTO!$AF$7)/$H28*OFFSET(ORÇAMENTO!$X$15,ROW(AY28)-ROW(AY$15),0),
ROUND(ROUND(OFFSET($P28,0,AY$13),15-13*ORÇAMENTO!$AF$7)*OFFSET(ORÇAMENTO!$W$15,ROW(AY28)-ROW(AY$15),0),15-13*ORÇAMENTO!$AF$11)),0)</f>
        <v>0</v>
      </c>
      <c r="AZ28" s="631">
        <f ca="1">IF(AND($D28="Serviço",AZ$12&lt;&gt;0,$H28&gt;0,OR(AUTOEVENTO&lt;&gt;"manual",$M28&lt;&gt;1)),
IF(Import.TipoArredondamento&lt;&gt;"TransfereGOV",
ROUND(OFFSET($P28,0,AZ$13),15-13*ORÇAMENTO!$AF$7)/$H28*OFFSET(ORÇAMENTO!$X$15,ROW(AZ28)-ROW(AZ$15),0),
ROUND(ROUND(OFFSET($P28,0,AZ$13),15-13*ORÇAMENTO!$AF$7)*OFFSET(ORÇAMENTO!$W$15,ROW(AZ28)-ROW(AZ$15),0),15-13*ORÇAMENTO!$AF$11)),0)</f>
        <v>0</v>
      </c>
      <c r="BA28" s="632">
        <f ca="1">IF(AND($D28="Serviço",BA$12&lt;&gt;0,$H28&gt;0,OR(AUTOEVENTO&lt;&gt;"manual",$M28&lt;&gt;1)),
IF(Import.TipoArredondamento&lt;&gt;"TransfereGOV",
ROUND(OFFSET($P28,0,BA$13),15-13*ORÇAMENTO!$AF$7)/$H28*OFFSET(ORÇAMENTO!$X$15,ROW(BA28)-ROW(BA$15),0),
ROUND(ROUND(OFFSET($P28,0,BA$13),15-13*ORÇAMENTO!$AF$7)*OFFSET(ORÇAMENTO!$W$15,ROW(BA28)-ROW(BA$15),0),15-13*ORÇAMENTO!$AF$11)),0)</f>
        <v>0</v>
      </c>
      <c r="BC28" s="216">
        <f ca="1">IF($D28&lt;&gt;"Serviço",0,IF(AND(AUTOEVENTO="Manual",$M28=1),0,IF(OFFSET(CRONOPLE!$F$14,$M28,BC$13)="",10^12,OFFSET(CRONOPLE!$F$14,$M28,BC$13))))</f>
        <v>1</v>
      </c>
      <c r="BD28" s="216">
        <f ca="1">IF($D28&lt;&gt;"Serviço",0,IF(AND(AUTOEVENTO="Manual",$M28=1),0,IF(OFFSET(CRONOPLE!$F$14,$M28,BD$13)="",10^12,OFFSET(CRONOPLE!$F$14,$M28,BD$13))))</f>
        <v>1</v>
      </c>
      <c r="BE28" s="216">
        <f ca="1">IF($D28&lt;&gt;"Serviço",0,IF(AND(AUTOEVENTO="Manual",$M28=1),0,IF(OFFSET(CRONOPLE!$F$14,$M28,BE$13)="",10^12,OFFSET(CRONOPLE!$F$14,$M28,BE$13))))</f>
        <v>2</v>
      </c>
      <c r="BF28" s="216">
        <f ca="1">IF($D28&lt;&gt;"Serviço",0,IF(AND(AUTOEVENTO="Manual",$M28=1),0,IF(OFFSET(CRONOPLE!$F$14,$M28,BF$13)="",10^12,OFFSET(CRONOPLE!$F$14,$M28,BF$13))))</f>
        <v>2</v>
      </c>
      <c r="BG28" s="216">
        <f ca="1">IF($D28&lt;&gt;"Serviço",0,IF(AND(AUTOEVENTO="Manual",$M28=1),0,IF(OFFSET(CRONOPLE!$F$14,$M28,BG$13)="",10^12,OFFSET(CRONOPLE!$F$14,$M28,BG$13))))</f>
        <v>3</v>
      </c>
      <c r="BH28" s="216">
        <f ca="1">IF($D28&lt;&gt;"Serviço",0,IF(AND(AUTOEVENTO="Manual",$M28=1),0,IF(OFFSET(CRONOPLE!$F$14,$M28,BH$13)="",10^12,OFFSET(CRONOPLE!$F$14,$M28,BH$13))))</f>
        <v>4</v>
      </c>
      <c r="BI28" s="216">
        <f ca="1">IF($D28&lt;&gt;"Serviço",0,IF(AND(AUTOEVENTO="Manual",$M28=1),0,IF(OFFSET(CRONOPLE!$F$14,$M28,BI$13)="",10^12,OFFSET(CRONOPLE!$F$14,$M28,BI$13))))</f>
        <v>4</v>
      </c>
      <c r="BJ28" s="216">
        <f ca="1">IF($D28&lt;&gt;"Serviço",0,IF(AND(AUTOEVENTO="Manual",$M28=1),0,IF(OFFSET(CRONOPLE!$F$14,$M28,BJ$13)="",10^12,OFFSET(CRONOPLE!$F$14,$M28,BJ$13))))</f>
        <v>4</v>
      </c>
      <c r="BK28" s="216">
        <f ca="1">IF($D28&lt;&gt;"Serviço",0,IF(AND(AUTOEVENTO="Manual",$M28=1),0,IF(OFFSET(CRONOPLE!$F$14,$M28,BK$13)="",10^12,OFFSET(CRONOPLE!$F$14,$M28,BK$13))))</f>
        <v>5</v>
      </c>
      <c r="BL28" s="216">
        <f ca="1">IF($D28&lt;&gt;"Serviço",0,IF(AND(AUTOEVENTO="Manual",$M28=1),0,IF(OFFSET(CRONOPLE!$F$14,$M28,BL$13)="",10^12,OFFSET(CRONOPLE!$F$14,$M28,BL$13))))</f>
        <v>5</v>
      </c>
      <c r="BM28" s="216">
        <f ca="1">IF($D28&lt;&gt;"Serviço",0,IF(AND(AUTOEVENTO="Manual",$M28=1),0,IF(OFFSET(CRONOPLE!$F$14,$M28,BM$13)="",10^12,OFFSET(CRONOPLE!$F$14,$M28,BM$13))))</f>
        <v>6</v>
      </c>
      <c r="BN28" s="216">
        <f ca="1">IF($D28&lt;&gt;"Serviço",0,IF(AND(AUTOEVENTO="Manual",$M28=1),0,IF(OFFSET(CRONOPLE!$F$14,$M28,BN$13)="",10^12,OFFSET(CRONOPLE!$F$14,$M28,BN$13))))</f>
        <v>6</v>
      </c>
      <c r="BO28" s="216">
        <f ca="1">IF($D28&lt;&gt;"Serviço",0,IF(AND(AUTOEVENTO="Manual",$M28=1),0,IF(OFFSET(CRONOPLE!$F$14,$M28,BO$13)="",10^12,OFFSET(CRONOPLE!$F$14,$M28,BO$13))))</f>
        <v>6</v>
      </c>
      <c r="BP28" s="216">
        <f ca="1">IF($D28&lt;&gt;"Serviço",0,IF(AND(AUTOEVENTO="Manual",$M28=1),0,IF(OFFSET(CRONOPLE!$F$14,$M28,BP$13)="",10^12,OFFSET(CRONOPLE!$F$14,$M28,BP$13))))</f>
        <v>1000000000000</v>
      </c>
      <c r="BQ28" s="216">
        <f ca="1">IF($D28&lt;&gt;"Serviço",0,IF(AND(AUTOEVENTO="Manual",$M28=1),0,IF(OFFSET(CRONOPLE!$F$14,$M28,BQ$13)="",10^12,OFFSET(CRONOPLE!$F$14,$M28,BQ$13))))</f>
        <v>1000000000000</v>
      </c>
      <c r="BR28" s="216">
        <f ca="1">IF($D28&lt;&gt;"Serviço",0,IF(AND(AUTOEVENTO="Manual",$M28=1),0,IF(OFFSET(CRONOPLE!$F$14,$M28,BR$13)="",10^12,OFFSET(CRONOPLE!$F$14,$M28,BR$13))))</f>
        <v>1000000000000</v>
      </c>
      <c r="BS28" s="216">
        <f ca="1">IF($D28&lt;&gt;"Serviço",0,IF(AND(AUTOEVENTO="Manual",$M28=1),0,IF(OFFSET(CRONOPLE!$F$14,$M28,BS$13)="",10^12,OFFSET(CRONOPLE!$F$14,$M28,BS$13))))</f>
        <v>1000000000000</v>
      </c>
      <c r="BT28" s="216">
        <f ca="1">IF($D28&lt;&gt;"Serviço",0,IF(AND(AUTOEVENTO="Manual",$M28=1),0,IF(OFFSET(CRONOPLE!$F$14,$M28,BT$13)="",10^12,OFFSET(CRONOPLE!$F$14,$M28,BT$13))))</f>
        <v>1000000000000</v>
      </c>
      <c r="BV28" s="217">
        <f ca="1">IF($D28&lt;&gt;"Serviço",0,IF(OR(AND(AUTOEVENTO="Manual",$M28=1),$M28&gt;(ROW(PLE.lastrow)-ROW(PLE.firstrow))),0,IF(OFFSET(PLE!$G$14,$M28,BV$13)="",10^12,OFFSET(PLE!$G$14,$M28,BV$13))))</f>
        <v>1000000000000</v>
      </c>
      <c r="BW28" s="217">
        <f ca="1">IF($D28&lt;&gt;"Serviço",0,IF(OR(AND(AUTOEVENTO="Manual",$M28=1),$M28&gt;(ROW(PLE.lastrow)-ROW(PLE.firstrow))),0,IF(OFFSET(PLE!$G$14,$M28,BW$13)="",10^12,OFFSET(PLE!$G$14,$M28,BW$13))))</f>
        <v>1000000000000</v>
      </c>
      <c r="BX28" s="217">
        <f ca="1">IF($D28&lt;&gt;"Serviço",0,IF(OR(AND(AUTOEVENTO="Manual",$M28=1),$M28&gt;(ROW(PLE.lastrow)-ROW(PLE.firstrow))),0,IF(OFFSET(PLE!$G$14,$M28,BX$13)="",10^12,OFFSET(PLE!$G$14,$M28,BX$13))))</f>
        <v>1000000000000</v>
      </c>
      <c r="BY28" s="217">
        <f ca="1">IF($D28&lt;&gt;"Serviço",0,IF(OR(AND(AUTOEVENTO="Manual",$M28=1),$M28&gt;(ROW(PLE.lastrow)-ROW(PLE.firstrow))),0,IF(OFFSET(PLE!$G$14,$M28,BY$13)="",10^12,OFFSET(PLE!$G$14,$M28,BY$13))))</f>
        <v>1000000000000</v>
      </c>
      <c r="BZ28" s="217">
        <f ca="1">IF($D28&lt;&gt;"Serviço",0,IF(OR(AND(AUTOEVENTO="Manual",$M28=1),$M28&gt;(ROW(PLE.lastrow)-ROW(PLE.firstrow))),0,IF(OFFSET(PLE!$G$14,$M28,BZ$13)="",10^12,OFFSET(PLE!$G$14,$M28,BZ$13))))</f>
        <v>1000000000000</v>
      </c>
      <c r="CA28" s="217">
        <f ca="1">IF($D28&lt;&gt;"Serviço",0,IF(OR(AND(AUTOEVENTO="Manual",$M28=1),$M28&gt;(ROW(PLE.lastrow)-ROW(PLE.firstrow))),0,IF(OFFSET(PLE!$G$14,$M28,CA$13)="",10^12,OFFSET(PLE!$G$14,$M28,CA$13))))</f>
        <v>1000000000000</v>
      </c>
      <c r="CB28" s="217">
        <f ca="1">IF($D28&lt;&gt;"Serviço",0,IF(OR(AND(AUTOEVENTO="Manual",$M28=1),$M28&gt;(ROW(PLE.lastrow)-ROW(PLE.firstrow))),0,IF(OFFSET(PLE!$G$14,$M28,CB$13)="",10^12,OFFSET(PLE!$G$14,$M28,CB$13))))</f>
        <v>1000000000000</v>
      </c>
      <c r="CC28" s="217">
        <f ca="1">IF($D28&lt;&gt;"Serviço",0,IF(OR(AND(AUTOEVENTO="Manual",$M28=1),$M28&gt;(ROW(PLE.lastrow)-ROW(PLE.firstrow))),0,IF(OFFSET(PLE!$G$14,$M28,CC$13)="",10^12,OFFSET(PLE!$G$14,$M28,CC$13))))</f>
        <v>1000000000000</v>
      </c>
      <c r="CD28" s="217">
        <f ca="1">IF($D28&lt;&gt;"Serviço",0,IF(OR(AND(AUTOEVENTO="Manual",$M28=1),$M28&gt;(ROW(PLE.lastrow)-ROW(PLE.firstrow))),0,IF(OFFSET(PLE!$G$14,$M28,CD$13)="",10^12,OFFSET(PLE!$G$14,$M28,CD$13))))</f>
        <v>1000000000000</v>
      </c>
      <c r="CE28" s="217">
        <f ca="1">IF($D28&lt;&gt;"Serviço",0,IF(OR(AND(AUTOEVENTO="Manual",$M28=1),$M28&gt;(ROW(PLE.lastrow)-ROW(PLE.firstrow))),0,IF(OFFSET(PLE!$G$14,$M28,CE$13)="",10^12,OFFSET(PLE!$G$14,$M28,CE$13))))</f>
        <v>1000000000000</v>
      </c>
      <c r="CF28" s="217">
        <f ca="1">IF($D28&lt;&gt;"Serviço",0,IF(OR(AND(AUTOEVENTO="Manual",$M28=1),$M28&gt;(ROW(PLE.lastrow)-ROW(PLE.firstrow))),0,IF(OFFSET(PLE!$G$14,$M28,CF$13)="",10^12,OFFSET(PLE!$G$14,$M28,CF$13))))</f>
        <v>1000000000000</v>
      </c>
      <c r="CG28" s="217">
        <f ca="1">IF($D28&lt;&gt;"Serviço",0,IF(OR(AND(AUTOEVENTO="Manual",$M28=1),$M28&gt;(ROW(PLE.lastrow)-ROW(PLE.firstrow))),0,IF(OFFSET(PLE!$G$14,$M28,CG$13)="",10^12,OFFSET(PLE!$G$14,$M28,CG$13))))</f>
        <v>1000000000000</v>
      </c>
      <c r="CH28" s="217">
        <f ca="1">IF($D28&lt;&gt;"Serviço",0,IF(OR(AND(AUTOEVENTO="Manual",$M28=1),$M28&gt;(ROW(PLE.lastrow)-ROW(PLE.firstrow))),0,IF(OFFSET(PLE!$G$14,$M28,CH$13)="",10^12,OFFSET(PLE!$G$14,$M28,CH$13))))</f>
        <v>1000000000000</v>
      </c>
      <c r="CI28" s="217">
        <f ca="1">IF($D28&lt;&gt;"Serviço",0,IF(OR(AND(AUTOEVENTO="Manual",$M28=1),$M28&gt;(ROW(PLE.lastrow)-ROW(PLE.firstrow))),0,IF(OFFSET(PLE!$G$14,$M28,CI$13)="",10^12,OFFSET(PLE!$G$14,$M28,CI$13))))</f>
        <v>1000000000000</v>
      </c>
      <c r="CJ28" s="217">
        <f ca="1">IF($D28&lt;&gt;"Serviço",0,IF(OR(AND(AUTOEVENTO="Manual",$M28=1),$M28&gt;(ROW(PLE.lastrow)-ROW(PLE.firstrow))),0,IF(OFFSET(PLE!$G$14,$M28,CJ$13)="",10^12,OFFSET(PLE!$G$14,$M28,CJ$13))))</f>
        <v>1000000000000</v>
      </c>
      <c r="CK28" s="217">
        <f ca="1">IF($D28&lt;&gt;"Serviço",0,IF(OR(AND(AUTOEVENTO="Manual",$M28=1),$M28&gt;(ROW(PLE.lastrow)-ROW(PLE.firstrow))),0,IF(OFFSET(PLE!$G$14,$M28,CK$13)="",10^12,OFFSET(PLE!$G$14,$M28,CK$13))))</f>
        <v>1000000000000</v>
      </c>
      <c r="CL28" s="217">
        <f ca="1">IF($D28&lt;&gt;"Serviço",0,IF(OR(AND(AUTOEVENTO="Manual",$M28=1),$M28&gt;(ROW(PLE.lastrow)-ROW(PLE.firstrow))),0,IF(OFFSET(PLE!$G$14,$M28,CL$13)="",10^12,OFFSET(PLE!$G$14,$M28,CL$13))))</f>
        <v>1000000000000</v>
      </c>
      <c r="CM28" s="217">
        <f ca="1">IF($D28&lt;&gt;"Serviço",0,IF(OR(AND(AUTOEVENTO="Manual",$M28=1),$M28&gt;(ROW(PLE.lastrow)-ROW(PLE.firstrow))),0,IF(OFFSET(PLE!$G$14,$M28,CM$13)="",10^12,OFFSET(PLE!$G$14,$M28,CM$13))))</f>
        <v>1000000000000</v>
      </c>
    </row>
    <row r="29" spans="1:91" ht="25.5" x14ac:dyDescent="0.2">
      <c r="A29" s="9" t="str">
        <f ca="1">IF(AUTOEVENTO="Manual",IF(K29&lt;&gt;"",MIN(VALUE(LEFT(K29,FIND(".",K29)-1)),COUNTA(EVENTOS.Lista)),0),IF(OR($B29&gt;AUTOEVENTO,$B29="S",$B29=0),SUBSTITUTE(OFFSET($A29,-1,0),IF($D29="Serviço",".",""),""),ROW(A29)-ROW($A$15)&amp;"."))</f>
        <v>5</v>
      </c>
      <c r="B29" s="9" t="str">
        <f ca="1">OFFSET(ORÇAMENTO!C$15,ROW(B29)-ROW(B$15),0)</f>
        <v>S</v>
      </c>
      <c r="C29" s="9" t="str">
        <f ca="1">OFFSET(ORÇAMENTO!L$15,ROW(C29)-ROW(C$15),0)</f>
        <v/>
      </c>
      <c r="D29" s="146" t="str">
        <f ca="1">OFFSET(ORÇAMENTO!N$15,ROW(D29)-ROW(D$15),0)</f>
        <v>Serviço</v>
      </c>
      <c r="E29" s="206" t="str">
        <f ca="1">OFFSET(ORÇAMENTO!O$15,ROW(E29)-ROW(E$15),0)</f>
        <v>-</v>
      </c>
      <c r="F29" s="207" t="str">
        <f ca="1">OFFSET(ORÇAMENTO!R$15,ROW(F29)-ROW(F$15),0)</f>
        <v>AQUISIÇÃO DE SOLO (AQUISIÇÃO DA PREFEITURA)</v>
      </c>
      <c r="G29" s="208" t="str">
        <f ca="1">IF($D29&lt;&gt;"Serviço","",OFFSET(ORÇAMENTO!S$15,ROW(G29)-ROW(G$15),0))</f>
        <v>-</v>
      </c>
      <c r="H29" s="152">
        <f ca="1">IF($D29&lt;&gt;"Serviço",0,IF(ACOMPANHAMENTO="BM",ROUND(OFFSET(ORÇAMENTO!AJ$15,ROW(H29)-ROW(H$15),0),15-13*ORÇAMENTO!$AF$7),SUMPRODUCT(($Q$12:$AI$12&lt;&gt;"")*ROUND($Q29:$AI29,15-13*ORÇAMENTO!$AF$7))))</f>
        <v>4733.87</v>
      </c>
      <c r="I29" s="649" t="s">
        <v>504</v>
      </c>
      <c r="K29" s="209"/>
      <c r="L29" s="210" t="s">
        <v>255</v>
      </c>
      <c r="M29" s="211">
        <f ca="1">IF($D29&lt;&gt;"Serviço","",IF(AUTOEVENTO="manual",$A29,IF(ISERROR(MATCH($A29,$A$15:OFFSET($A29,-1,0),0)),MAX($M$15:OFFSET(M29,-1,0))+1,INDEX($M$15:OFFSET(M29,-1,0),MATCH($A29,$A$15:OFFSET($A29,-1,0),0)))))</f>
        <v>3</v>
      </c>
      <c r="N29" s="212" t="str">
        <f ca="1">IF($D29&lt;&gt;"Serviço","",IF(AUTOEVENTO="Manual",IF($A29=0,"&lt;-- defina o número do agrupador",OFFSET(EVENTOS!$D$14,$A29,0)),OFFSET($F$15,$A29,0)))</f>
        <v xml:space="preserve">TERRAPLANAGEM </v>
      </c>
      <c r="O29" s="213"/>
      <c r="Q29" s="213">
        <v>77.22</v>
      </c>
      <c r="R29" s="214">
        <v>404.53</v>
      </c>
      <c r="S29" s="214">
        <v>272.79000000000002</v>
      </c>
      <c r="T29" s="214">
        <v>616.85</v>
      </c>
      <c r="U29" s="214">
        <v>1219.77</v>
      </c>
      <c r="V29" s="214">
        <v>67.44</v>
      </c>
      <c r="W29" s="214">
        <v>69.91</v>
      </c>
      <c r="X29" s="214">
        <v>612.91999999999996</v>
      </c>
      <c r="Y29" s="215">
        <v>232.43</v>
      </c>
      <c r="Z29" s="214">
        <v>633.01</v>
      </c>
      <c r="AA29" s="214">
        <v>477.6</v>
      </c>
      <c r="AB29" s="214">
        <v>49.4</v>
      </c>
      <c r="AC29" s="214"/>
      <c r="AD29" s="214"/>
      <c r="AE29" s="214"/>
      <c r="AF29" s="214"/>
      <c r="AG29" s="214"/>
      <c r="AH29" s="215"/>
      <c r="AJ29" s="630">
        <f ca="1">IF(AND($D29="Serviço",AJ$12&lt;&gt;0,$H29&gt;0,OR(AUTOEVENTO&lt;&gt;"manual",$M29&lt;&gt;1)),
IF(Import.TipoArredondamento&lt;&gt;"TransfereGOV",
ROUND(OFFSET($P29,0,AJ$13),15-13*ORÇAMENTO!$AF$7)/$H29*OFFSET(ORÇAMENTO!$X$15,ROW(AJ29)-ROW(AJ$15),0),
ROUND(ROUND(OFFSET($P29,0,AJ$13),15-13*ORÇAMENTO!$AF$7)*OFFSET(ORÇAMENTO!$W$15,ROW(AJ29)-ROW(AJ$15),0),15-13*ORÇAMENTO!$AF$11)),0)</f>
        <v>0</v>
      </c>
      <c r="AK29" s="631">
        <f ca="1">IF(AND($D29="Serviço",AK$12&lt;&gt;0,$H29&gt;0,OR(AUTOEVENTO&lt;&gt;"manual",$M29&lt;&gt;1)),
IF(Import.TipoArredondamento&lt;&gt;"TransfereGOV",
ROUND(OFFSET($P29,0,AK$13),15-13*ORÇAMENTO!$AF$7)/$H29*OFFSET(ORÇAMENTO!$X$15,ROW(AK29)-ROW(AK$15),0),
ROUND(ROUND(OFFSET($P29,0,AK$13),15-13*ORÇAMENTO!$AF$7)*OFFSET(ORÇAMENTO!$W$15,ROW(AK29)-ROW(AK$15),0),15-13*ORÇAMENTO!$AF$11)),0)</f>
        <v>0</v>
      </c>
      <c r="AL29" s="631">
        <f ca="1">IF(AND($D29="Serviço",AL$12&lt;&gt;0,$H29&gt;0,OR(AUTOEVENTO&lt;&gt;"manual",$M29&lt;&gt;1)),
IF(Import.TipoArredondamento&lt;&gt;"TransfereGOV",
ROUND(OFFSET($P29,0,AL$13),15-13*ORÇAMENTO!$AF$7)/$H29*OFFSET(ORÇAMENTO!$X$15,ROW(AL29)-ROW(AL$15),0),
ROUND(ROUND(OFFSET($P29,0,AL$13),15-13*ORÇAMENTO!$AF$7)*OFFSET(ORÇAMENTO!$W$15,ROW(AL29)-ROW(AL$15),0),15-13*ORÇAMENTO!$AF$11)),0)</f>
        <v>0</v>
      </c>
      <c r="AM29" s="631">
        <f ca="1">IF(AND($D29="Serviço",AM$12&lt;&gt;0,$H29&gt;0,OR(AUTOEVENTO&lt;&gt;"manual",$M29&lt;&gt;1)),
IF(Import.TipoArredondamento&lt;&gt;"TransfereGOV",
ROUND(OFFSET($P29,0,AM$13),15-13*ORÇAMENTO!$AF$7)/$H29*OFFSET(ORÇAMENTO!$X$15,ROW(AM29)-ROW(AM$15),0),
ROUND(ROUND(OFFSET($P29,0,AM$13),15-13*ORÇAMENTO!$AF$7)*OFFSET(ORÇAMENTO!$W$15,ROW(AM29)-ROW(AM$15),0),15-13*ORÇAMENTO!$AF$11)),0)</f>
        <v>0</v>
      </c>
      <c r="AN29" s="631">
        <f ca="1">IF(AND($D29="Serviço",AN$12&lt;&gt;0,$H29&gt;0,OR(AUTOEVENTO&lt;&gt;"manual",$M29&lt;&gt;1)),
IF(Import.TipoArredondamento&lt;&gt;"TransfereGOV",
ROUND(OFFSET($P29,0,AN$13),15-13*ORÇAMENTO!$AF$7)/$H29*OFFSET(ORÇAMENTO!$X$15,ROW(AN29)-ROW(AN$15),0),
ROUND(ROUND(OFFSET($P29,0,AN$13),15-13*ORÇAMENTO!$AF$7)*OFFSET(ORÇAMENTO!$W$15,ROW(AN29)-ROW(AN$15),0),15-13*ORÇAMENTO!$AF$11)),0)</f>
        <v>0</v>
      </c>
      <c r="AO29" s="631">
        <f ca="1">IF(AND($D29="Serviço",AO$12&lt;&gt;0,$H29&gt;0,OR(AUTOEVENTO&lt;&gt;"manual",$M29&lt;&gt;1)),
IF(Import.TipoArredondamento&lt;&gt;"TransfereGOV",
ROUND(OFFSET($P29,0,AO$13),15-13*ORÇAMENTO!$AF$7)/$H29*OFFSET(ORÇAMENTO!$X$15,ROW(AO29)-ROW(AO$15),0),
ROUND(ROUND(OFFSET($P29,0,AO$13),15-13*ORÇAMENTO!$AF$7)*OFFSET(ORÇAMENTO!$W$15,ROW(AO29)-ROW(AO$15),0),15-13*ORÇAMENTO!$AF$11)),0)</f>
        <v>0</v>
      </c>
      <c r="AP29" s="631">
        <f ca="1">IF(AND($D29="Serviço",AP$12&lt;&gt;0,$H29&gt;0,OR(AUTOEVENTO&lt;&gt;"manual",$M29&lt;&gt;1)),
IF(Import.TipoArredondamento&lt;&gt;"TransfereGOV",
ROUND(OFFSET($P29,0,AP$13),15-13*ORÇAMENTO!$AF$7)/$H29*OFFSET(ORÇAMENTO!$X$15,ROW(AP29)-ROW(AP$15),0),
ROUND(ROUND(OFFSET($P29,0,AP$13),15-13*ORÇAMENTO!$AF$7)*OFFSET(ORÇAMENTO!$W$15,ROW(AP29)-ROW(AP$15),0),15-13*ORÇAMENTO!$AF$11)),0)</f>
        <v>0</v>
      </c>
      <c r="AQ29" s="631">
        <f ca="1">IF(AND($D29="Serviço",AQ$12&lt;&gt;0,$H29&gt;0,OR(AUTOEVENTO&lt;&gt;"manual",$M29&lt;&gt;1)),
IF(Import.TipoArredondamento&lt;&gt;"TransfereGOV",
ROUND(OFFSET($P29,0,AQ$13),15-13*ORÇAMENTO!$AF$7)/$H29*OFFSET(ORÇAMENTO!$X$15,ROW(AQ29)-ROW(AQ$15),0),
ROUND(ROUND(OFFSET($P29,0,AQ$13),15-13*ORÇAMENTO!$AF$7)*OFFSET(ORÇAMENTO!$W$15,ROW(AQ29)-ROW(AQ$15),0),15-13*ORÇAMENTO!$AF$11)),0)</f>
        <v>0</v>
      </c>
      <c r="AR29" s="631">
        <f ca="1">IF(AND($D29="Serviço",AR$12&lt;&gt;0,$H29&gt;0,OR(AUTOEVENTO&lt;&gt;"manual",$M29&lt;&gt;1)),
IF(Import.TipoArredondamento&lt;&gt;"TransfereGOV",
ROUND(OFFSET($P29,0,AR$13),15-13*ORÇAMENTO!$AF$7)/$H29*OFFSET(ORÇAMENTO!$X$15,ROW(AR29)-ROW(AR$15),0),
ROUND(ROUND(OFFSET($P29,0,AR$13),15-13*ORÇAMENTO!$AF$7)*OFFSET(ORÇAMENTO!$W$15,ROW(AR29)-ROW(AR$15),0),15-13*ORÇAMENTO!$AF$11)),0)</f>
        <v>0</v>
      </c>
      <c r="AS29" s="632">
        <f ca="1">IF(AND($D29="Serviço",AS$12&lt;&gt;0,$H29&gt;0,OR(AUTOEVENTO&lt;&gt;"manual",$M29&lt;&gt;1)),
IF(Import.TipoArredondamento&lt;&gt;"TransfereGOV",
ROUND(OFFSET($P29,0,AS$13),15-13*ORÇAMENTO!$AF$7)/$H29*OFFSET(ORÇAMENTO!$X$15,ROW(AS29)-ROW(AS$15),0),
ROUND(ROUND(OFFSET($P29,0,AS$13),15-13*ORÇAMENTO!$AF$7)*OFFSET(ORÇAMENTO!$W$15,ROW(AS29)-ROW(AS$15),0),15-13*ORÇAMENTO!$AF$11)),0)</f>
        <v>0</v>
      </c>
      <c r="AT29" s="631">
        <f ca="1">IF(AND($D29="Serviço",AT$12&lt;&gt;0,$H29&gt;0,OR(AUTOEVENTO&lt;&gt;"manual",$M29&lt;&gt;1)),
IF(Import.TipoArredondamento&lt;&gt;"TransfereGOV",
ROUND(OFFSET($P29,0,AT$13),15-13*ORÇAMENTO!$AF$7)/$H29*OFFSET(ORÇAMENTO!$X$15,ROW(AT29)-ROW(AT$15),0),
ROUND(ROUND(OFFSET($P29,0,AT$13),15-13*ORÇAMENTO!$AF$7)*OFFSET(ORÇAMENTO!$W$15,ROW(AT29)-ROW(AT$15),0),15-13*ORÇAMENTO!$AF$11)),0)</f>
        <v>0</v>
      </c>
      <c r="AU29" s="631">
        <f ca="1">IF(AND($D29="Serviço",AU$12&lt;&gt;0,$H29&gt;0,OR(AUTOEVENTO&lt;&gt;"manual",$M29&lt;&gt;1)),
IF(Import.TipoArredondamento&lt;&gt;"TransfereGOV",
ROUND(OFFSET($P29,0,AU$13),15-13*ORÇAMENTO!$AF$7)/$H29*OFFSET(ORÇAMENTO!$X$15,ROW(AU29)-ROW(AU$15),0),
ROUND(ROUND(OFFSET($P29,0,AU$13),15-13*ORÇAMENTO!$AF$7)*OFFSET(ORÇAMENTO!$W$15,ROW(AU29)-ROW(AU$15),0),15-13*ORÇAMENTO!$AF$11)),0)</f>
        <v>0</v>
      </c>
      <c r="AV29" s="631">
        <f ca="1">IF(AND($D29="Serviço",AV$12&lt;&gt;0,$H29&gt;0,OR(AUTOEVENTO&lt;&gt;"manual",$M29&lt;&gt;1)),
IF(Import.TipoArredondamento&lt;&gt;"TransfereGOV",
ROUND(OFFSET($P29,0,AV$13),15-13*ORÇAMENTO!$AF$7)/$H29*OFFSET(ORÇAMENTO!$X$15,ROW(AV29)-ROW(AV$15),0),
ROUND(ROUND(OFFSET($P29,0,AV$13),15-13*ORÇAMENTO!$AF$7)*OFFSET(ORÇAMENTO!$W$15,ROW(AV29)-ROW(AV$15),0),15-13*ORÇAMENTO!$AF$11)),0)</f>
        <v>0</v>
      </c>
      <c r="AW29" s="631">
        <f ca="1">IF(AND($D29="Serviço",AW$12&lt;&gt;0,$H29&gt;0,OR(AUTOEVENTO&lt;&gt;"manual",$M29&lt;&gt;1)),
IF(Import.TipoArredondamento&lt;&gt;"TransfereGOV",
ROUND(OFFSET($P29,0,AW$13),15-13*ORÇAMENTO!$AF$7)/$H29*OFFSET(ORÇAMENTO!$X$15,ROW(AW29)-ROW(AW$15),0),
ROUND(ROUND(OFFSET($P29,0,AW$13),15-13*ORÇAMENTO!$AF$7)*OFFSET(ORÇAMENTO!$W$15,ROW(AW29)-ROW(AW$15),0),15-13*ORÇAMENTO!$AF$11)),0)</f>
        <v>0</v>
      </c>
      <c r="AX29" s="631">
        <f ca="1">IF(AND($D29="Serviço",AX$12&lt;&gt;0,$H29&gt;0,OR(AUTOEVENTO&lt;&gt;"manual",$M29&lt;&gt;1)),
IF(Import.TipoArredondamento&lt;&gt;"TransfereGOV",
ROUND(OFFSET($P29,0,AX$13),15-13*ORÇAMENTO!$AF$7)/$H29*OFFSET(ORÇAMENTO!$X$15,ROW(AX29)-ROW(AX$15),0),
ROUND(ROUND(OFFSET($P29,0,AX$13),15-13*ORÇAMENTO!$AF$7)*OFFSET(ORÇAMENTO!$W$15,ROW(AX29)-ROW(AX$15),0),15-13*ORÇAMENTO!$AF$11)),0)</f>
        <v>0</v>
      </c>
      <c r="AY29" s="631">
        <f ca="1">IF(AND($D29="Serviço",AY$12&lt;&gt;0,$H29&gt;0,OR(AUTOEVENTO&lt;&gt;"manual",$M29&lt;&gt;1)),
IF(Import.TipoArredondamento&lt;&gt;"TransfereGOV",
ROUND(OFFSET($P29,0,AY$13),15-13*ORÇAMENTO!$AF$7)/$H29*OFFSET(ORÇAMENTO!$X$15,ROW(AY29)-ROW(AY$15),0),
ROUND(ROUND(OFFSET($P29,0,AY$13),15-13*ORÇAMENTO!$AF$7)*OFFSET(ORÇAMENTO!$W$15,ROW(AY29)-ROW(AY$15),0),15-13*ORÇAMENTO!$AF$11)),0)</f>
        <v>0</v>
      </c>
      <c r="AZ29" s="631">
        <f ca="1">IF(AND($D29="Serviço",AZ$12&lt;&gt;0,$H29&gt;0,OR(AUTOEVENTO&lt;&gt;"manual",$M29&lt;&gt;1)),
IF(Import.TipoArredondamento&lt;&gt;"TransfereGOV",
ROUND(OFFSET($P29,0,AZ$13),15-13*ORÇAMENTO!$AF$7)/$H29*OFFSET(ORÇAMENTO!$X$15,ROW(AZ29)-ROW(AZ$15),0),
ROUND(ROUND(OFFSET($P29,0,AZ$13),15-13*ORÇAMENTO!$AF$7)*OFFSET(ORÇAMENTO!$W$15,ROW(AZ29)-ROW(AZ$15),0),15-13*ORÇAMENTO!$AF$11)),0)</f>
        <v>0</v>
      </c>
      <c r="BA29" s="632">
        <f ca="1">IF(AND($D29="Serviço",BA$12&lt;&gt;0,$H29&gt;0,OR(AUTOEVENTO&lt;&gt;"manual",$M29&lt;&gt;1)),
IF(Import.TipoArredondamento&lt;&gt;"TransfereGOV",
ROUND(OFFSET($P29,0,BA$13),15-13*ORÇAMENTO!$AF$7)/$H29*OFFSET(ORÇAMENTO!$X$15,ROW(BA29)-ROW(BA$15),0),
ROUND(ROUND(OFFSET($P29,0,BA$13),15-13*ORÇAMENTO!$AF$7)*OFFSET(ORÇAMENTO!$W$15,ROW(BA29)-ROW(BA$15),0),15-13*ORÇAMENTO!$AF$11)),0)</f>
        <v>0</v>
      </c>
      <c r="BC29" s="216">
        <f ca="1">IF($D29&lt;&gt;"Serviço",0,IF(AND(AUTOEVENTO="Manual",$M29=1),0,IF(OFFSET(CRONOPLE!$F$14,$M29,BC$13)="",10^12,OFFSET(CRONOPLE!$F$14,$M29,BC$13))))</f>
        <v>1</v>
      </c>
      <c r="BD29" s="216">
        <f ca="1">IF($D29&lt;&gt;"Serviço",0,IF(AND(AUTOEVENTO="Manual",$M29=1),0,IF(OFFSET(CRONOPLE!$F$14,$M29,BD$13)="",10^12,OFFSET(CRONOPLE!$F$14,$M29,BD$13))))</f>
        <v>1</v>
      </c>
      <c r="BE29" s="216">
        <f ca="1">IF($D29&lt;&gt;"Serviço",0,IF(AND(AUTOEVENTO="Manual",$M29=1),0,IF(OFFSET(CRONOPLE!$F$14,$M29,BE$13)="",10^12,OFFSET(CRONOPLE!$F$14,$M29,BE$13))))</f>
        <v>2</v>
      </c>
      <c r="BF29" s="216">
        <f ca="1">IF($D29&lt;&gt;"Serviço",0,IF(AND(AUTOEVENTO="Manual",$M29=1),0,IF(OFFSET(CRONOPLE!$F$14,$M29,BF$13)="",10^12,OFFSET(CRONOPLE!$F$14,$M29,BF$13))))</f>
        <v>2</v>
      </c>
      <c r="BG29" s="216">
        <f ca="1">IF($D29&lt;&gt;"Serviço",0,IF(AND(AUTOEVENTO="Manual",$M29=1),0,IF(OFFSET(CRONOPLE!$F$14,$M29,BG$13)="",10^12,OFFSET(CRONOPLE!$F$14,$M29,BG$13))))</f>
        <v>3</v>
      </c>
      <c r="BH29" s="216">
        <f ca="1">IF($D29&lt;&gt;"Serviço",0,IF(AND(AUTOEVENTO="Manual",$M29=1),0,IF(OFFSET(CRONOPLE!$F$14,$M29,BH$13)="",10^12,OFFSET(CRONOPLE!$F$14,$M29,BH$13))))</f>
        <v>4</v>
      </c>
      <c r="BI29" s="216">
        <f ca="1">IF($D29&lt;&gt;"Serviço",0,IF(AND(AUTOEVENTO="Manual",$M29=1),0,IF(OFFSET(CRONOPLE!$F$14,$M29,BI$13)="",10^12,OFFSET(CRONOPLE!$F$14,$M29,BI$13))))</f>
        <v>4</v>
      </c>
      <c r="BJ29" s="216">
        <f ca="1">IF($D29&lt;&gt;"Serviço",0,IF(AND(AUTOEVENTO="Manual",$M29=1),0,IF(OFFSET(CRONOPLE!$F$14,$M29,BJ$13)="",10^12,OFFSET(CRONOPLE!$F$14,$M29,BJ$13))))</f>
        <v>4</v>
      </c>
      <c r="BK29" s="216">
        <f ca="1">IF($D29&lt;&gt;"Serviço",0,IF(AND(AUTOEVENTO="Manual",$M29=1),0,IF(OFFSET(CRONOPLE!$F$14,$M29,BK$13)="",10^12,OFFSET(CRONOPLE!$F$14,$M29,BK$13))))</f>
        <v>5</v>
      </c>
      <c r="BL29" s="216">
        <f ca="1">IF($D29&lt;&gt;"Serviço",0,IF(AND(AUTOEVENTO="Manual",$M29=1),0,IF(OFFSET(CRONOPLE!$F$14,$M29,BL$13)="",10^12,OFFSET(CRONOPLE!$F$14,$M29,BL$13))))</f>
        <v>5</v>
      </c>
      <c r="BM29" s="216">
        <f ca="1">IF($D29&lt;&gt;"Serviço",0,IF(AND(AUTOEVENTO="Manual",$M29=1),0,IF(OFFSET(CRONOPLE!$F$14,$M29,BM$13)="",10^12,OFFSET(CRONOPLE!$F$14,$M29,BM$13))))</f>
        <v>6</v>
      </c>
      <c r="BN29" s="216">
        <f ca="1">IF($D29&lt;&gt;"Serviço",0,IF(AND(AUTOEVENTO="Manual",$M29=1),0,IF(OFFSET(CRONOPLE!$F$14,$M29,BN$13)="",10^12,OFFSET(CRONOPLE!$F$14,$M29,BN$13))))</f>
        <v>6</v>
      </c>
      <c r="BO29" s="216">
        <f ca="1">IF($D29&lt;&gt;"Serviço",0,IF(AND(AUTOEVENTO="Manual",$M29=1),0,IF(OFFSET(CRONOPLE!$F$14,$M29,BO$13)="",10^12,OFFSET(CRONOPLE!$F$14,$M29,BO$13))))</f>
        <v>6</v>
      </c>
      <c r="BP29" s="216">
        <f ca="1">IF($D29&lt;&gt;"Serviço",0,IF(AND(AUTOEVENTO="Manual",$M29=1),0,IF(OFFSET(CRONOPLE!$F$14,$M29,BP$13)="",10^12,OFFSET(CRONOPLE!$F$14,$M29,BP$13))))</f>
        <v>1000000000000</v>
      </c>
      <c r="BQ29" s="216">
        <f ca="1">IF($D29&lt;&gt;"Serviço",0,IF(AND(AUTOEVENTO="Manual",$M29=1),0,IF(OFFSET(CRONOPLE!$F$14,$M29,BQ$13)="",10^12,OFFSET(CRONOPLE!$F$14,$M29,BQ$13))))</f>
        <v>1000000000000</v>
      </c>
      <c r="BR29" s="216">
        <f ca="1">IF($D29&lt;&gt;"Serviço",0,IF(AND(AUTOEVENTO="Manual",$M29=1),0,IF(OFFSET(CRONOPLE!$F$14,$M29,BR$13)="",10^12,OFFSET(CRONOPLE!$F$14,$M29,BR$13))))</f>
        <v>1000000000000</v>
      </c>
      <c r="BS29" s="216">
        <f ca="1">IF($D29&lt;&gt;"Serviço",0,IF(AND(AUTOEVENTO="Manual",$M29=1),0,IF(OFFSET(CRONOPLE!$F$14,$M29,BS$13)="",10^12,OFFSET(CRONOPLE!$F$14,$M29,BS$13))))</f>
        <v>1000000000000</v>
      </c>
      <c r="BT29" s="216">
        <f ca="1">IF($D29&lt;&gt;"Serviço",0,IF(AND(AUTOEVENTO="Manual",$M29=1),0,IF(OFFSET(CRONOPLE!$F$14,$M29,BT$13)="",10^12,OFFSET(CRONOPLE!$F$14,$M29,BT$13))))</f>
        <v>1000000000000</v>
      </c>
      <c r="BV29" s="217">
        <f ca="1">IF($D29&lt;&gt;"Serviço",0,IF(OR(AND(AUTOEVENTO="Manual",$M29=1),$M29&gt;(ROW(PLE.lastrow)-ROW(PLE.firstrow))),0,IF(OFFSET(PLE!$G$14,$M29,BV$13)="",10^12,OFFSET(PLE!$G$14,$M29,BV$13))))</f>
        <v>1000000000000</v>
      </c>
      <c r="BW29" s="217">
        <f ca="1">IF($D29&lt;&gt;"Serviço",0,IF(OR(AND(AUTOEVENTO="Manual",$M29=1),$M29&gt;(ROW(PLE.lastrow)-ROW(PLE.firstrow))),0,IF(OFFSET(PLE!$G$14,$M29,BW$13)="",10^12,OFFSET(PLE!$G$14,$M29,BW$13))))</f>
        <v>1000000000000</v>
      </c>
      <c r="BX29" s="217">
        <f ca="1">IF($D29&lt;&gt;"Serviço",0,IF(OR(AND(AUTOEVENTO="Manual",$M29=1),$M29&gt;(ROW(PLE.lastrow)-ROW(PLE.firstrow))),0,IF(OFFSET(PLE!$G$14,$M29,BX$13)="",10^12,OFFSET(PLE!$G$14,$M29,BX$13))))</f>
        <v>1000000000000</v>
      </c>
      <c r="BY29" s="217">
        <f ca="1">IF($D29&lt;&gt;"Serviço",0,IF(OR(AND(AUTOEVENTO="Manual",$M29=1),$M29&gt;(ROW(PLE.lastrow)-ROW(PLE.firstrow))),0,IF(OFFSET(PLE!$G$14,$M29,BY$13)="",10^12,OFFSET(PLE!$G$14,$M29,BY$13))))</f>
        <v>1000000000000</v>
      </c>
      <c r="BZ29" s="217">
        <f ca="1">IF($D29&lt;&gt;"Serviço",0,IF(OR(AND(AUTOEVENTO="Manual",$M29=1),$M29&gt;(ROW(PLE.lastrow)-ROW(PLE.firstrow))),0,IF(OFFSET(PLE!$G$14,$M29,BZ$13)="",10^12,OFFSET(PLE!$G$14,$M29,BZ$13))))</f>
        <v>1000000000000</v>
      </c>
      <c r="CA29" s="217">
        <f ca="1">IF($D29&lt;&gt;"Serviço",0,IF(OR(AND(AUTOEVENTO="Manual",$M29=1),$M29&gt;(ROW(PLE.lastrow)-ROW(PLE.firstrow))),0,IF(OFFSET(PLE!$G$14,$M29,CA$13)="",10^12,OFFSET(PLE!$G$14,$M29,CA$13))))</f>
        <v>1000000000000</v>
      </c>
      <c r="CB29" s="217">
        <f ca="1">IF($D29&lt;&gt;"Serviço",0,IF(OR(AND(AUTOEVENTO="Manual",$M29=1),$M29&gt;(ROW(PLE.lastrow)-ROW(PLE.firstrow))),0,IF(OFFSET(PLE!$G$14,$M29,CB$13)="",10^12,OFFSET(PLE!$G$14,$M29,CB$13))))</f>
        <v>1000000000000</v>
      </c>
      <c r="CC29" s="217">
        <f ca="1">IF($D29&lt;&gt;"Serviço",0,IF(OR(AND(AUTOEVENTO="Manual",$M29=1),$M29&gt;(ROW(PLE.lastrow)-ROW(PLE.firstrow))),0,IF(OFFSET(PLE!$G$14,$M29,CC$13)="",10^12,OFFSET(PLE!$G$14,$M29,CC$13))))</f>
        <v>1000000000000</v>
      </c>
      <c r="CD29" s="217">
        <f ca="1">IF($D29&lt;&gt;"Serviço",0,IF(OR(AND(AUTOEVENTO="Manual",$M29=1),$M29&gt;(ROW(PLE.lastrow)-ROW(PLE.firstrow))),0,IF(OFFSET(PLE!$G$14,$M29,CD$13)="",10^12,OFFSET(PLE!$G$14,$M29,CD$13))))</f>
        <v>1000000000000</v>
      </c>
      <c r="CE29" s="217">
        <f ca="1">IF($D29&lt;&gt;"Serviço",0,IF(OR(AND(AUTOEVENTO="Manual",$M29=1),$M29&gt;(ROW(PLE.lastrow)-ROW(PLE.firstrow))),0,IF(OFFSET(PLE!$G$14,$M29,CE$13)="",10^12,OFFSET(PLE!$G$14,$M29,CE$13))))</f>
        <v>1000000000000</v>
      </c>
      <c r="CF29" s="217">
        <f ca="1">IF($D29&lt;&gt;"Serviço",0,IF(OR(AND(AUTOEVENTO="Manual",$M29=1),$M29&gt;(ROW(PLE.lastrow)-ROW(PLE.firstrow))),0,IF(OFFSET(PLE!$G$14,$M29,CF$13)="",10^12,OFFSET(PLE!$G$14,$M29,CF$13))))</f>
        <v>1000000000000</v>
      </c>
      <c r="CG29" s="217">
        <f ca="1">IF($D29&lt;&gt;"Serviço",0,IF(OR(AND(AUTOEVENTO="Manual",$M29=1),$M29&gt;(ROW(PLE.lastrow)-ROW(PLE.firstrow))),0,IF(OFFSET(PLE!$G$14,$M29,CG$13)="",10^12,OFFSET(PLE!$G$14,$M29,CG$13))))</f>
        <v>1000000000000</v>
      </c>
      <c r="CH29" s="217">
        <f ca="1">IF($D29&lt;&gt;"Serviço",0,IF(OR(AND(AUTOEVENTO="Manual",$M29=1),$M29&gt;(ROW(PLE.lastrow)-ROW(PLE.firstrow))),0,IF(OFFSET(PLE!$G$14,$M29,CH$13)="",10^12,OFFSET(PLE!$G$14,$M29,CH$13))))</f>
        <v>1000000000000</v>
      </c>
      <c r="CI29" s="217">
        <f ca="1">IF($D29&lt;&gt;"Serviço",0,IF(OR(AND(AUTOEVENTO="Manual",$M29=1),$M29&gt;(ROW(PLE.lastrow)-ROW(PLE.firstrow))),0,IF(OFFSET(PLE!$G$14,$M29,CI$13)="",10^12,OFFSET(PLE!$G$14,$M29,CI$13))))</f>
        <v>1000000000000</v>
      </c>
      <c r="CJ29" s="217">
        <f ca="1">IF($D29&lt;&gt;"Serviço",0,IF(OR(AND(AUTOEVENTO="Manual",$M29=1),$M29&gt;(ROW(PLE.lastrow)-ROW(PLE.firstrow))),0,IF(OFFSET(PLE!$G$14,$M29,CJ$13)="",10^12,OFFSET(PLE!$G$14,$M29,CJ$13))))</f>
        <v>1000000000000</v>
      </c>
      <c r="CK29" s="217">
        <f ca="1">IF($D29&lt;&gt;"Serviço",0,IF(OR(AND(AUTOEVENTO="Manual",$M29=1),$M29&gt;(ROW(PLE.lastrow)-ROW(PLE.firstrow))),0,IF(OFFSET(PLE!$G$14,$M29,CK$13)="",10^12,OFFSET(PLE!$G$14,$M29,CK$13))))</f>
        <v>1000000000000</v>
      </c>
      <c r="CL29" s="217">
        <f ca="1">IF($D29&lt;&gt;"Serviço",0,IF(OR(AND(AUTOEVENTO="Manual",$M29=1),$M29&gt;(ROW(PLE.lastrow)-ROW(PLE.firstrow))),0,IF(OFFSET(PLE!$G$14,$M29,CL$13)="",10^12,OFFSET(PLE!$G$14,$M29,CL$13))))</f>
        <v>1000000000000</v>
      </c>
      <c r="CM29" s="217">
        <f ca="1">IF($D29&lt;&gt;"Serviço",0,IF(OR(AND(AUTOEVENTO="Manual",$M29=1),$M29&gt;(ROW(PLE.lastrow)-ROW(PLE.firstrow))),0,IF(OFFSET(PLE!$G$14,$M29,CM$13)="",10^12,OFFSET(PLE!$G$14,$M29,CM$13))))</f>
        <v>1000000000000</v>
      </c>
    </row>
    <row r="30" spans="1:91" ht="12.75" x14ac:dyDescent="0.2">
      <c r="A30" s="9" t="str">
        <f t="shared" ca="1" si="9"/>
        <v>15.</v>
      </c>
      <c r="B30" s="9">
        <f ca="1">OFFSET(ORÇAMENTO!C$15,ROW(B30)-ROW(B$15),0)</f>
        <v>2</v>
      </c>
      <c r="C30" s="9" t="str">
        <f ca="1">OFFSET(ORÇAMENTO!L$15,ROW(C30)-ROW(C$15),0)</f>
        <v>F</v>
      </c>
      <c r="D30" s="146" t="str">
        <f ca="1">OFFSET(ORÇAMENTO!N$15,ROW(D30)-ROW(D$15),0)</f>
        <v>Nível 2</v>
      </c>
      <c r="E30" s="206" t="str">
        <f ca="1">OFFSET(ORÇAMENTO!O$15,ROW(E30)-ROW(E$15),0)</f>
        <v>1.3.</v>
      </c>
      <c r="F30" s="207" t="str">
        <f ca="1">OFFSET(ORÇAMENTO!R$15,ROW(F30)-ROW(F$15),0)</f>
        <v>IMPRIMAÇÃO</v>
      </c>
      <c r="G30" s="208" t="str">
        <f ca="1">IF($D30&lt;&gt;"Serviço","",OFFSET(ORÇAMENTO!S$15,ROW(G30)-ROW(G$15),0))</f>
        <v/>
      </c>
      <c r="H30" s="152">
        <f ca="1">IF($D30&lt;&gt;"Serviço",0,IF(ACOMPANHAMENTO="BM",ROUND(OFFSET(ORÇAMENTO!AJ$15,ROW(H30)-ROW(H$15),0),15-13*ORÇAMENTO!$AF$7),SUMPRODUCT(($Q$12:$AI$12&lt;&gt;"")*ROUND($Q30:$AI30,15-13*ORÇAMENTO!$AF$7))))</f>
        <v>0</v>
      </c>
      <c r="I30" s="649"/>
      <c r="K30" s="209"/>
      <c r="L30" s="210" t="s">
        <v>255</v>
      </c>
      <c r="M30" s="211" t="str">
        <f ca="1">IF($D30&lt;&gt;"Serviço","",IF(AUTOEVENTO="manual",$A30,IF(ISERROR(MATCH($A30,$A$15:OFFSET($A30,-1,0),0)),MAX($M$15:OFFSET(M30,-1,0))+1,INDEX($M$15:OFFSET(M30,-1,0),MATCH($A30,$A$15:OFFSET($A30,-1,0),0)))))</f>
        <v/>
      </c>
      <c r="N30" s="212" t="str">
        <f ca="1">IF($D30&lt;&gt;"Serviço","",IF(AUTOEVENTO="Manual",IF($A30=0,"&lt;-- defina o número do agrupador",OFFSET(EVENTOS!$D$14,$A30,0)),OFFSET($F$15,$A30,0)))</f>
        <v/>
      </c>
      <c r="O30" s="213"/>
      <c r="Q30" s="213"/>
      <c r="R30" s="214"/>
      <c r="S30" s="214"/>
      <c r="T30" s="214"/>
      <c r="U30" s="214"/>
      <c r="V30" s="214"/>
      <c r="W30" s="214"/>
      <c r="X30" s="214"/>
      <c r="Y30" s="215"/>
      <c r="Z30" s="214"/>
      <c r="AA30" s="214"/>
      <c r="AB30" s="214"/>
      <c r="AC30" s="214"/>
      <c r="AD30" s="214"/>
      <c r="AE30" s="214"/>
      <c r="AF30" s="214"/>
      <c r="AG30" s="214"/>
      <c r="AH30" s="215"/>
      <c r="AJ30" s="630">
        <f ca="1">IF(AND($D30="Serviço",AJ$12&lt;&gt;0,$H30&gt;0,OR(AUTOEVENTO&lt;&gt;"manual",$M30&lt;&gt;1)),
IF(Import.TipoArredondamento&lt;&gt;"TransfereGOV",
ROUND(OFFSET($P30,0,AJ$13),15-13*ORÇAMENTO!$AF$7)/$H30*OFFSET(ORÇAMENTO!$X$15,ROW(AJ30)-ROW(AJ$15),0),
ROUND(ROUND(OFFSET($P30,0,AJ$13),15-13*ORÇAMENTO!$AF$7)*OFFSET(ORÇAMENTO!$W$15,ROW(AJ30)-ROW(AJ$15),0),15-13*ORÇAMENTO!$AF$11)),0)</f>
        <v>0</v>
      </c>
      <c r="AK30" s="631">
        <f ca="1">IF(AND($D30="Serviço",AK$12&lt;&gt;0,$H30&gt;0,OR(AUTOEVENTO&lt;&gt;"manual",$M30&lt;&gt;1)),
IF(Import.TipoArredondamento&lt;&gt;"TransfereGOV",
ROUND(OFFSET($P30,0,AK$13),15-13*ORÇAMENTO!$AF$7)/$H30*OFFSET(ORÇAMENTO!$X$15,ROW(AK30)-ROW(AK$15),0),
ROUND(ROUND(OFFSET($P30,0,AK$13),15-13*ORÇAMENTO!$AF$7)*OFFSET(ORÇAMENTO!$W$15,ROW(AK30)-ROW(AK$15),0),15-13*ORÇAMENTO!$AF$11)),0)</f>
        <v>0</v>
      </c>
      <c r="AL30" s="631">
        <f ca="1">IF(AND($D30="Serviço",AL$12&lt;&gt;0,$H30&gt;0,OR(AUTOEVENTO&lt;&gt;"manual",$M30&lt;&gt;1)),
IF(Import.TipoArredondamento&lt;&gt;"TransfereGOV",
ROUND(OFFSET($P30,0,AL$13),15-13*ORÇAMENTO!$AF$7)/$H30*OFFSET(ORÇAMENTO!$X$15,ROW(AL30)-ROW(AL$15),0),
ROUND(ROUND(OFFSET($P30,0,AL$13),15-13*ORÇAMENTO!$AF$7)*OFFSET(ORÇAMENTO!$W$15,ROW(AL30)-ROW(AL$15),0),15-13*ORÇAMENTO!$AF$11)),0)</f>
        <v>0</v>
      </c>
      <c r="AM30" s="631">
        <f ca="1">IF(AND($D30="Serviço",AM$12&lt;&gt;0,$H30&gt;0,OR(AUTOEVENTO&lt;&gt;"manual",$M30&lt;&gt;1)),
IF(Import.TipoArredondamento&lt;&gt;"TransfereGOV",
ROUND(OFFSET($P30,0,AM$13),15-13*ORÇAMENTO!$AF$7)/$H30*OFFSET(ORÇAMENTO!$X$15,ROW(AM30)-ROW(AM$15),0),
ROUND(ROUND(OFFSET($P30,0,AM$13),15-13*ORÇAMENTO!$AF$7)*OFFSET(ORÇAMENTO!$W$15,ROW(AM30)-ROW(AM$15),0),15-13*ORÇAMENTO!$AF$11)),0)</f>
        <v>0</v>
      </c>
      <c r="AN30" s="631">
        <f ca="1">IF(AND($D30="Serviço",AN$12&lt;&gt;0,$H30&gt;0,OR(AUTOEVENTO&lt;&gt;"manual",$M30&lt;&gt;1)),
IF(Import.TipoArredondamento&lt;&gt;"TransfereGOV",
ROUND(OFFSET($P30,0,AN$13),15-13*ORÇAMENTO!$AF$7)/$H30*OFFSET(ORÇAMENTO!$X$15,ROW(AN30)-ROW(AN$15),0),
ROUND(ROUND(OFFSET($P30,0,AN$13),15-13*ORÇAMENTO!$AF$7)*OFFSET(ORÇAMENTO!$W$15,ROW(AN30)-ROW(AN$15),0),15-13*ORÇAMENTO!$AF$11)),0)</f>
        <v>0</v>
      </c>
      <c r="AO30" s="631">
        <f ca="1">IF(AND($D30="Serviço",AO$12&lt;&gt;0,$H30&gt;0,OR(AUTOEVENTO&lt;&gt;"manual",$M30&lt;&gt;1)),
IF(Import.TipoArredondamento&lt;&gt;"TransfereGOV",
ROUND(OFFSET($P30,0,AO$13),15-13*ORÇAMENTO!$AF$7)/$H30*OFFSET(ORÇAMENTO!$X$15,ROW(AO30)-ROW(AO$15),0),
ROUND(ROUND(OFFSET($P30,0,AO$13),15-13*ORÇAMENTO!$AF$7)*OFFSET(ORÇAMENTO!$W$15,ROW(AO30)-ROW(AO$15),0),15-13*ORÇAMENTO!$AF$11)),0)</f>
        <v>0</v>
      </c>
      <c r="AP30" s="631">
        <f ca="1">IF(AND($D30="Serviço",AP$12&lt;&gt;0,$H30&gt;0,OR(AUTOEVENTO&lt;&gt;"manual",$M30&lt;&gt;1)),
IF(Import.TipoArredondamento&lt;&gt;"TransfereGOV",
ROUND(OFFSET($P30,0,AP$13),15-13*ORÇAMENTO!$AF$7)/$H30*OFFSET(ORÇAMENTO!$X$15,ROW(AP30)-ROW(AP$15),0),
ROUND(ROUND(OFFSET($P30,0,AP$13),15-13*ORÇAMENTO!$AF$7)*OFFSET(ORÇAMENTO!$W$15,ROW(AP30)-ROW(AP$15),0),15-13*ORÇAMENTO!$AF$11)),0)</f>
        <v>0</v>
      </c>
      <c r="AQ30" s="631">
        <f ca="1">IF(AND($D30="Serviço",AQ$12&lt;&gt;0,$H30&gt;0,OR(AUTOEVENTO&lt;&gt;"manual",$M30&lt;&gt;1)),
IF(Import.TipoArredondamento&lt;&gt;"TransfereGOV",
ROUND(OFFSET($P30,0,AQ$13),15-13*ORÇAMENTO!$AF$7)/$H30*OFFSET(ORÇAMENTO!$X$15,ROW(AQ30)-ROW(AQ$15),0),
ROUND(ROUND(OFFSET($P30,0,AQ$13),15-13*ORÇAMENTO!$AF$7)*OFFSET(ORÇAMENTO!$W$15,ROW(AQ30)-ROW(AQ$15),0),15-13*ORÇAMENTO!$AF$11)),0)</f>
        <v>0</v>
      </c>
      <c r="AR30" s="631">
        <f ca="1">IF(AND($D30="Serviço",AR$12&lt;&gt;0,$H30&gt;0,OR(AUTOEVENTO&lt;&gt;"manual",$M30&lt;&gt;1)),
IF(Import.TipoArredondamento&lt;&gt;"TransfereGOV",
ROUND(OFFSET($P30,0,AR$13),15-13*ORÇAMENTO!$AF$7)/$H30*OFFSET(ORÇAMENTO!$X$15,ROW(AR30)-ROW(AR$15),0),
ROUND(ROUND(OFFSET($P30,0,AR$13),15-13*ORÇAMENTO!$AF$7)*OFFSET(ORÇAMENTO!$W$15,ROW(AR30)-ROW(AR$15),0),15-13*ORÇAMENTO!$AF$11)),0)</f>
        <v>0</v>
      </c>
      <c r="AS30" s="632">
        <f ca="1">IF(AND($D30="Serviço",AS$12&lt;&gt;0,$H30&gt;0,OR(AUTOEVENTO&lt;&gt;"manual",$M30&lt;&gt;1)),
IF(Import.TipoArredondamento&lt;&gt;"TransfereGOV",
ROUND(OFFSET($P30,0,AS$13),15-13*ORÇAMENTO!$AF$7)/$H30*OFFSET(ORÇAMENTO!$X$15,ROW(AS30)-ROW(AS$15),0),
ROUND(ROUND(OFFSET($P30,0,AS$13),15-13*ORÇAMENTO!$AF$7)*OFFSET(ORÇAMENTO!$W$15,ROW(AS30)-ROW(AS$15),0),15-13*ORÇAMENTO!$AF$11)),0)</f>
        <v>0</v>
      </c>
      <c r="AT30" s="631">
        <f ca="1">IF(AND($D30="Serviço",AT$12&lt;&gt;0,$H30&gt;0,OR(AUTOEVENTO&lt;&gt;"manual",$M30&lt;&gt;1)),
IF(Import.TipoArredondamento&lt;&gt;"TransfereGOV",
ROUND(OFFSET($P30,0,AT$13),15-13*ORÇAMENTO!$AF$7)/$H30*OFFSET(ORÇAMENTO!$X$15,ROW(AT30)-ROW(AT$15),0),
ROUND(ROUND(OFFSET($P30,0,AT$13),15-13*ORÇAMENTO!$AF$7)*OFFSET(ORÇAMENTO!$W$15,ROW(AT30)-ROW(AT$15),0),15-13*ORÇAMENTO!$AF$11)),0)</f>
        <v>0</v>
      </c>
      <c r="AU30" s="631">
        <f ca="1">IF(AND($D30="Serviço",AU$12&lt;&gt;0,$H30&gt;0,OR(AUTOEVENTO&lt;&gt;"manual",$M30&lt;&gt;1)),
IF(Import.TipoArredondamento&lt;&gt;"TransfereGOV",
ROUND(OFFSET($P30,0,AU$13),15-13*ORÇAMENTO!$AF$7)/$H30*OFFSET(ORÇAMENTO!$X$15,ROW(AU30)-ROW(AU$15),0),
ROUND(ROUND(OFFSET($P30,0,AU$13),15-13*ORÇAMENTO!$AF$7)*OFFSET(ORÇAMENTO!$W$15,ROW(AU30)-ROW(AU$15),0),15-13*ORÇAMENTO!$AF$11)),0)</f>
        <v>0</v>
      </c>
      <c r="AV30" s="631">
        <f ca="1">IF(AND($D30="Serviço",AV$12&lt;&gt;0,$H30&gt;0,OR(AUTOEVENTO&lt;&gt;"manual",$M30&lt;&gt;1)),
IF(Import.TipoArredondamento&lt;&gt;"TransfereGOV",
ROUND(OFFSET($P30,0,AV$13),15-13*ORÇAMENTO!$AF$7)/$H30*OFFSET(ORÇAMENTO!$X$15,ROW(AV30)-ROW(AV$15),0),
ROUND(ROUND(OFFSET($P30,0,AV$13),15-13*ORÇAMENTO!$AF$7)*OFFSET(ORÇAMENTO!$W$15,ROW(AV30)-ROW(AV$15),0),15-13*ORÇAMENTO!$AF$11)),0)</f>
        <v>0</v>
      </c>
      <c r="AW30" s="631">
        <f ca="1">IF(AND($D30="Serviço",AW$12&lt;&gt;0,$H30&gt;0,OR(AUTOEVENTO&lt;&gt;"manual",$M30&lt;&gt;1)),
IF(Import.TipoArredondamento&lt;&gt;"TransfereGOV",
ROUND(OFFSET($P30,0,AW$13),15-13*ORÇAMENTO!$AF$7)/$H30*OFFSET(ORÇAMENTO!$X$15,ROW(AW30)-ROW(AW$15),0),
ROUND(ROUND(OFFSET($P30,0,AW$13),15-13*ORÇAMENTO!$AF$7)*OFFSET(ORÇAMENTO!$W$15,ROW(AW30)-ROW(AW$15),0),15-13*ORÇAMENTO!$AF$11)),0)</f>
        <v>0</v>
      </c>
      <c r="AX30" s="631">
        <f ca="1">IF(AND($D30="Serviço",AX$12&lt;&gt;0,$H30&gt;0,OR(AUTOEVENTO&lt;&gt;"manual",$M30&lt;&gt;1)),
IF(Import.TipoArredondamento&lt;&gt;"TransfereGOV",
ROUND(OFFSET($P30,0,AX$13),15-13*ORÇAMENTO!$AF$7)/$H30*OFFSET(ORÇAMENTO!$X$15,ROW(AX30)-ROW(AX$15),0),
ROUND(ROUND(OFFSET($P30,0,AX$13),15-13*ORÇAMENTO!$AF$7)*OFFSET(ORÇAMENTO!$W$15,ROW(AX30)-ROW(AX$15),0),15-13*ORÇAMENTO!$AF$11)),0)</f>
        <v>0</v>
      </c>
      <c r="AY30" s="631">
        <f ca="1">IF(AND($D30="Serviço",AY$12&lt;&gt;0,$H30&gt;0,OR(AUTOEVENTO&lt;&gt;"manual",$M30&lt;&gt;1)),
IF(Import.TipoArredondamento&lt;&gt;"TransfereGOV",
ROUND(OFFSET($P30,0,AY$13),15-13*ORÇAMENTO!$AF$7)/$H30*OFFSET(ORÇAMENTO!$X$15,ROW(AY30)-ROW(AY$15),0),
ROUND(ROUND(OFFSET($P30,0,AY$13),15-13*ORÇAMENTO!$AF$7)*OFFSET(ORÇAMENTO!$W$15,ROW(AY30)-ROW(AY$15),0),15-13*ORÇAMENTO!$AF$11)),0)</f>
        <v>0</v>
      </c>
      <c r="AZ30" s="631">
        <f ca="1">IF(AND($D30="Serviço",AZ$12&lt;&gt;0,$H30&gt;0,OR(AUTOEVENTO&lt;&gt;"manual",$M30&lt;&gt;1)),
IF(Import.TipoArredondamento&lt;&gt;"TransfereGOV",
ROUND(OFFSET($P30,0,AZ$13),15-13*ORÇAMENTO!$AF$7)/$H30*OFFSET(ORÇAMENTO!$X$15,ROW(AZ30)-ROW(AZ$15),0),
ROUND(ROUND(OFFSET($P30,0,AZ$13),15-13*ORÇAMENTO!$AF$7)*OFFSET(ORÇAMENTO!$W$15,ROW(AZ30)-ROW(AZ$15),0),15-13*ORÇAMENTO!$AF$11)),0)</f>
        <v>0</v>
      </c>
      <c r="BA30" s="632">
        <f ca="1">IF(AND($D30="Serviço",BA$12&lt;&gt;0,$H30&gt;0,OR(AUTOEVENTO&lt;&gt;"manual",$M30&lt;&gt;1)),
IF(Import.TipoArredondamento&lt;&gt;"TransfereGOV",
ROUND(OFFSET($P30,0,BA$13),15-13*ORÇAMENTO!$AF$7)/$H30*OFFSET(ORÇAMENTO!$X$15,ROW(BA30)-ROW(BA$15),0),
ROUND(ROUND(OFFSET($P30,0,BA$13),15-13*ORÇAMENTO!$AF$7)*OFFSET(ORÇAMENTO!$W$15,ROW(BA30)-ROW(BA$15),0),15-13*ORÇAMENTO!$AF$11)),0)</f>
        <v>0</v>
      </c>
      <c r="BC30" s="216">
        <f ca="1">IF($D30&lt;&gt;"Serviço",0,IF(AND(AUTOEVENTO="Manual",$M30=1),0,IF(OFFSET(CRONOPLE!$F$14,$M30,BC$13)="",10^12,OFFSET(CRONOPLE!$F$14,$M30,BC$13))))</f>
        <v>0</v>
      </c>
      <c r="BD30" s="216">
        <f ca="1">IF($D30&lt;&gt;"Serviço",0,IF(AND(AUTOEVENTO="Manual",$M30=1),0,IF(OFFSET(CRONOPLE!$F$14,$M30,BD$13)="",10^12,OFFSET(CRONOPLE!$F$14,$M30,BD$13))))</f>
        <v>0</v>
      </c>
      <c r="BE30" s="216">
        <f ca="1">IF($D30&lt;&gt;"Serviço",0,IF(AND(AUTOEVENTO="Manual",$M30=1),0,IF(OFFSET(CRONOPLE!$F$14,$M30,BE$13)="",10^12,OFFSET(CRONOPLE!$F$14,$M30,BE$13))))</f>
        <v>0</v>
      </c>
      <c r="BF30" s="216">
        <f ca="1">IF($D30&lt;&gt;"Serviço",0,IF(AND(AUTOEVENTO="Manual",$M30=1),0,IF(OFFSET(CRONOPLE!$F$14,$M30,BF$13)="",10^12,OFFSET(CRONOPLE!$F$14,$M30,BF$13))))</f>
        <v>0</v>
      </c>
      <c r="BG30" s="216">
        <f ca="1">IF($D30&lt;&gt;"Serviço",0,IF(AND(AUTOEVENTO="Manual",$M30=1),0,IF(OFFSET(CRONOPLE!$F$14,$M30,BG$13)="",10^12,OFFSET(CRONOPLE!$F$14,$M30,BG$13))))</f>
        <v>0</v>
      </c>
      <c r="BH30" s="216">
        <f ca="1">IF($D30&lt;&gt;"Serviço",0,IF(AND(AUTOEVENTO="Manual",$M30=1),0,IF(OFFSET(CRONOPLE!$F$14,$M30,BH$13)="",10^12,OFFSET(CRONOPLE!$F$14,$M30,BH$13))))</f>
        <v>0</v>
      </c>
      <c r="BI30" s="216">
        <f ca="1">IF($D30&lt;&gt;"Serviço",0,IF(AND(AUTOEVENTO="Manual",$M30=1),0,IF(OFFSET(CRONOPLE!$F$14,$M30,BI$13)="",10^12,OFFSET(CRONOPLE!$F$14,$M30,BI$13))))</f>
        <v>0</v>
      </c>
      <c r="BJ30" s="216">
        <f ca="1">IF($D30&lt;&gt;"Serviço",0,IF(AND(AUTOEVENTO="Manual",$M30=1),0,IF(OFFSET(CRONOPLE!$F$14,$M30,BJ$13)="",10^12,OFFSET(CRONOPLE!$F$14,$M30,BJ$13))))</f>
        <v>0</v>
      </c>
      <c r="BK30" s="216">
        <f ca="1">IF($D30&lt;&gt;"Serviço",0,IF(AND(AUTOEVENTO="Manual",$M30=1),0,IF(OFFSET(CRONOPLE!$F$14,$M30,BK$13)="",10^12,OFFSET(CRONOPLE!$F$14,$M30,BK$13))))</f>
        <v>0</v>
      </c>
      <c r="BL30" s="216">
        <f ca="1">IF($D30&lt;&gt;"Serviço",0,IF(AND(AUTOEVENTO="Manual",$M30=1),0,IF(OFFSET(CRONOPLE!$F$14,$M30,BL$13)="",10^12,OFFSET(CRONOPLE!$F$14,$M30,BL$13))))</f>
        <v>0</v>
      </c>
      <c r="BM30" s="216">
        <f ca="1">IF($D30&lt;&gt;"Serviço",0,IF(AND(AUTOEVENTO="Manual",$M30=1),0,IF(OFFSET(CRONOPLE!$F$14,$M30,BM$13)="",10^12,OFFSET(CRONOPLE!$F$14,$M30,BM$13))))</f>
        <v>0</v>
      </c>
      <c r="BN30" s="216">
        <f ca="1">IF($D30&lt;&gt;"Serviço",0,IF(AND(AUTOEVENTO="Manual",$M30=1),0,IF(OFFSET(CRONOPLE!$F$14,$M30,BN$13)="",10^12,OFFSET(CRONOPLE!$F$14,$M30,BN$13))))</f>
        <v>0</v>
      </c>
      <c r="BO30" s="216">
        <f ca="1">IF($D30&lt;&gt;"Serviço",0,IF(AND(AUTOEVENTO="Manual",$M30=1),0,IF(OFFSET(CRONOPLE!$F$14,$M30,BO$13)="",10^12,OFFSET(CRONOPLE!$F$14,$M30,BO$13))))</f>
        <v>0</v>
      </c>
      <c r="BP30" s="216">
        <f ca="1">IF($D30&lt;&gt;"Serviço",0,IF(AND(AUTOEVENTO="Manual",$M30=1),0,IF(OFFSET(CRONOPLE!$F$14,$M30,BP$13)="",10^12,OFFSET(CRONOPLE!$F$14,$M30,BP$13))))</f>
        <v>0</v>
      </c>
      <c r="BQ30" s="216">
        <f ca="1">IF($D30&lt;&gt;"Serviço",0,IF(AND(AUTOEVENTO="Manual",$M30=1),0,IF(OFFSET(CRONOPLE!$F$14,$M30,BQ$13)="",10^12,OFFSET(CRONOPLE!$F$14,$M30,BQ$13))))</f>
        <v>0</v>
      </c>
      <c r="BR30" s="216">
        <f ca="1">IF($D30&lt;&gt;"Serviço",0,IF(AND(AUTOEVENTO="Manual",$M30=1),0,IF(OFFSET(CRONOPLE!$F$14,$M30,BR$13)="",10^12,OFFSET(CRONOPLE!$F$14,$M30,BR$13))))</f>
        <v>0</v>
      </c>
      <c r="BS30" s="216">
        <f ca="1">IF($D30&lt;&gt;"Serviço",0,IF(AND(AUTOEVENTO="Manual",$M30=1),0,IF(OFFSET(CRONOPLE!$F$14,$M30,BS$13)="",10^12,OFFSET(CRONOPLE!$F$14,$M30,BS$13))))</f>
        <v>0</v>
      </c>
      <c r="BT30" s="216">
        <f ca="1">IF($D30&lt;&gt;"Serviço",0,IF(AND(AUTOEVENTO="Manual",$M30=1),0,IF(OFFSET(CRONOPLE!$F$14,$M30,BT$13)="",10^12,OFFSET(CRONOPLE!$F$14,$M30,BT$13))))</f>
        <v>0</v>
      </c>
      <c r="BV30" s="217">
        <f ca="1">IF($D30&lt;&gt;"Serviço",0,IF(OR(AND(AUTOEVENTO="Manual",$M30=1),$M30&gt;(ROW(PLE.lastrow)-ROW(PLE.firstrow))),0,IF(OFFSET(PLE!$G$14,$M30,BV$13)="",10^12,OFFSET(PLE!$G$14,$M30,BV$13))))</f>
        <v>0</v>
      </c>
      <c r="BW30" s="217">
        <f ca="1">IF($D30&lt;&gt;"Serviço",0,IF(OR(AND(AUTOEVENTO="Manual",$M30=1),$M30&gt;(ROW(PLE.lastrow)-ROW(PLE.firstrow))),0,IF(OFFSET(PLE!$G$14,$M30,BW$13)="",10^12,OFFSET(PLE!$G$14,$M30,BW$13))))</f>
        <v>0</v>
      </c>
      <c r="BX30" s="217">
        <f ca="1">IF($D30&lt;&gt;"Serviço",0,IF(OR(AND(AUTOEVENTO="Manual",$M30=1),$M30&gt;(ROW(PLE.lastrow)-ROW(PLE.firstrow))),0,IF(OFFSET(PLE!$G$14,$M30,BX$13)="",10^12,OFFSET(PLE!$G$14,$M30,BX$13))))</f>
        <v>0</v>
      </c>
      <c r="BY30" s="217">
        <f ca="1">IF($D30&lt;&gt;"Serviço",0,IF(OR(AND(AUTOEVENTO="Manual",$M30=1),$M30&gt;(ROW(PLE.lastrow)-ROW(PLE.firstrow))),0,IF(OFFSET(PLE!$G$14,$M30,BY$13)="",10^12,OFFSET(PLE!$G$14,$M30,BY$13))))</f>
        <v>0</v>
      </c>
      <c r="BZ30" s="217">
        <f ca="1">IF($D30&lt;&gt;"Serviço",0,IF(OR(AND(AUTOEVENTO="Manual",$M30=1),$M30&gt;(ROW(PLE.lastrow)-ROW(PLE.firstrow))),0,IF(OFFSET(PLE!$G$14,$M30,BZ$13)="",10^12,OFFSET(PLE!$G$14,$M30,BZ$13))))</f>
        <v>0</v>
      </c>
      <c r="CA30" s="217">
        <f ca="1">IF($D30&lt;&gt;"Serviço",0,IF(OR(AND(AUTOEVENTO="Manual",$M30=1),$M30&gt;(ROW(PLE.lastrow)-ROW(PLE.firstrow))),0,IF(OFFSET(PLE!$G$14,$M30,CA$13)="",10^12,OFFSET(PLE!$G$14,$M30,CA$13))))</f>
        <v>0</v>
      </c>
      <c r="CB30" s="217">
        <f ca="1">IF($D30&lt;&gt;"Serviço",0,IF(OR(AND(AUTOEVENTO="Manual",$M30=1),$M30&gt;(ROW(PLE.lastrow)-ROW(PLE.firstrow))),0,IF(OFFSET(PLE!$G$14,$M30,CB$13)="",10^12,OFFSET(PLE!$G$14,$M30,CB$13))))</f>
        <v>0</v>
      </c>
      <c r="CC30" s="217">
        <f ca="1">IF($D30&lt;&gt;"Serviço",0,IF(OR(AND(AUTOEVENTO="Manual",$M30=1),$M30&gt;(ROW(PLE.lastrow)-ROW(PLE.firstrow))),0,IF(OFFSET(PLE!$G$14,$M30,CC$13)="",10^12,OFFSET(PLE!$G$14,$M30,CC$13))))</f>
        <v>0</v>
      </c>
      <c r="CD30" s="217">
        <f ca="1">IF($D30&lt;&gt;"Serviço",0,IF(OR(AND(AUTOEVENTO="Manual",$M30=1),$M30&gt;(ROW(PLE.lastrow)-ROW(PLE.firstrow))),0,IF(OFFSET(PLE!$G$14,$M30,CD$13)="",10^12,OFFSET(PLE!$G$14,$M30,CD$13))))</f>
        <v>0</v>
      </c>
      <c r="CE30" s="217">
        <f ca="1">IF($D30&lt;&gt;"Serviço",0,IF(OR(AND(AUTOEVENTO="Manual",$M30=1),$M30&gt;(ROW(PLE.lastrow)-ROW(PLE.firstrow))),0,IF(OFFSET(PLE!$G$14,$M30,CE$13)="",10^12,OFFSET(PLE!$G$14,$M30,CE$13))))</f>
        <v>0</v>
      </c>
      <c r="CF30" s="217">
        <f ca="1">IF($D30&lt;&gt;"Serviço",0,IF(OR(AND(AUTOEVENTO="Manual",$M30=1),$M30&gt;(ROW(PLE.lastrow)-ROW(PLE.firstrow))),0,IF(OFFSET(PLE!$G$14,$M30,CF$13)="",10^12,OFFSET(PLE!$G$14,$M30,CF$13))))</f>
        <v>0</v>
      </c>
      <c r="CG30" s="217">
        <f ca="1">IF($D30&lt;&gt;"Serviço",0,IF(OR(AND(AUTOEVENTO="Manual",$M30=1),$M30&gt;(ROW(PLE.lastrow)-ROW(PLE.firstrow))),0,IF(OFFSET(PLE!$G$14,$M30,CG$13)="",10^12,OFFSET(PLE!$G$14,$M30,CG$13))))</f>
        <v>0</v>
      </c>
      <c r="CH30" s="217">
        <f ca="1">IF($D30&lt;&gt;"Serviço",0,IF(OR(AND(AUTOEVENTO="Manual",$M30=1),$M30&gt;(ROW(PLE.lastrow)-ROW(PLE.firstrow))),0,IF(OFFSET(PLE!$G$14,$M30,CH$13)="",10^12,OFFSET(PLE!$G$14,$M30,CH$13))))</f>
        <v>0</v>
      </c>
      <c r="CI30" s="217">
        <f ca="1">IF($D30&lt;&gt;"Serviço",0,IF(OR(AND(AUTOEVENTO="Manual",$M30=1),$M30&gt;(ROW(PLE.lastrow)-ROW(PLE.firstrow))),0,IF(OFFSET(PLE!$G$14,$M30,CI$13)="",10^12,OFFSET(PLE!$G$14,$M30,CI$13))))</f>
        <v>0</v>
      </c>
      <c r="CJ30" s="217">
        <f ca="1">IF($D30&lt;&gt;"Serviço",0,IF(OR(AND(AUTOEVENTO="Manual",$M30=1),$M30&gt;(ROW(PLE.lastrow)-ROW(PLE.firstrow))),0,IF(OFFSET(PLE!$G$14,$M30,CJ$13)="",10^12,OFFSET(PLE!$G$14,$M30,CJ$13))))</f>
        <v>0</v>
      </c>
      <c r="CK30" s="217">
        <f ca="1">IF($D30&lt;&gt;"Serviço",0,IF(OR(AND(AUTOEVENTO="Manual",$M30=1),$M30&gt;(ROW(PLE.lastrow)-ROW(PLE.firstrow))),0,IF(OFFSET(PLE!$G$14,$M30,CK$13)="",10^12,OFFSET(PLE!$G$14,$M30,CK$13))))</f>
        <v>0</v>
      </c>
      <c r="CL30" s="217">
        <f ca="1">IF($D30&lt;&gt;"Serviço",0,IF(OR(AND(AUTOEVENTO="Manual",$M30=1),$M30&gt;(ROW(PLE.lastrow)-ROW(PLE.firstrow))),0,IF(OFFSET(PLE!$G$14,$M30,CL$13)="",10^12,OFFSET(PLE!$G$14,$M30,CL$13))))</f>
        <v>0</v>
      </c>
      <c r="CM30" s="217">
        <f ca="1">IF($D30&lt;&gt;"Serviço",0,IF(OR(AND(AUTOEVENTO="Manual",$M30=1),$M30&gt;(ROW(PLE.lastrow)-ROW(PLE.firstrow))),0,IF(OFFSET(PLE!$G$14,$M30,CM$13)="",10^12,OFFSET(PLE!$G$14,$M30,CM$13))))</f>
        <v>0</v>
      </c>
    </row>
    <row r="31" spans="1:91" ht="25.5" x14ac:dyDescent="0.2">
      <c r="A31" s="9" t="str">
        <f t="shared" ca="1" si="9"/>
        <v>15</v>
      </c>
      <c r="B31" s="9" t="str">
        <f ca="1">OFFSET(ORÇAMENTO!C$15,ROW(B31)-ROW(B$15),0)</f>
        <v>S</v>
      </c>
      <c r="C31" s="9" t="str">
        <f ca="1">OFFSET(ORÇAMENTO!L$15,ROW(C31)-ROW(C$15),0)</f>
        <v/>
      </c>
      <c r="D31" s="146" t="str">
        <f ca="1">OFFSET(ORÇAMENTO!N$15,ROW(D31)-ROW(D$15),0)</f>
        <v>Serviço</v>
      </c>
      <c r="E31" s="206" t="str">
        <f ca="1">OFFSET(ORÇAMENTO!O$15,ROW(E31)-ROW(E$15),0)</f>
        <v>-</v>
      </c>
      <c r="F31" s="207" t="str">
        <f ca="1">OFFSET(ORÇAMENTO!R$15,ROW(F31)-ROW(F$15),0)</f>
        <v>(abra o arquivo 'Referência 12-2023.xlsm)</v>
      </c>
      <c r="G31" s="208" t="str">
        <f ca="1">IF($D31&lt;&gt;"Serviço","",OFFSET(ORÇAMENTO!S$15,ROW(G31)-ROW(G$15),0))</f>
        <v>-</v>
      </c>
      <c r="H31" s="152">
        <f ca="1">IF($D31&lt;&gt;"Serviço",0,IF(ACOMPANHAMENTO="BM",ROUND(OFFSET(ORÇAMENTO!AJ$15,ROW(H31)-ROW(H$15),0),15-13*ORÇAMENTO!$AF$7),SUMPRODUCT(($Q$12:$AI$12&lt;&gt;"")*ROUND($Q31:$AI31,15-13*ORÇAMENTO!$AF$7))))</f>
        <v>27566.989999999994</v>
      </c>
      <c r="I31" s="649" t="s">
        <v>504</v>
      </c>
      <c r="K31" s="209"/>
      <c r="L31" s="210" t="s">
        <v>255</v>
      </c>
      <c r="M31" s="211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212" t="str">
        <f ca="1">IF($D31&lt;&gt;"Serviço","",IF(AUTOEVENTO="Manual",IF($A31=0,"&lt;-- defina o número do agrupador",OFFSET(EVENTOS!$D$14,$A31,0)),OFFSET($F$15,$A31,0)))</f>
        <v>IMPRIMAÇÃO</v>
      </c>
      <c r="O31" s="213"/>
      <c r="Q31" s="213">
        <v>447.66</v>
      </c>
      <c r="R31" s="214">
        <v>2345.1</v>
      </c>
      <c r="S31" s="214">
        <v>1581.42</v>
      </c>
      <c r="T31" s="214">
        <v>3575.94</v>
      </c>
      <c r="U31" s="214">
        <v>7142.79</v>
      </c>
      <c r="V31" s="214">
        <v>390.96</v>
      </c>
      <c r="W31" s="214">
        <v>405.3</v>
      </c>
      <c r="X31" s="214">
        <v>3553.14</v>
      </c>
      <c r="Y31" s="215">
        <v>1347.42</v>
      </c>
      <c r="Z31" s="214">
        <v>3669.6</v>
      </c>
      <c r="AA31" s="214">
        <v>2821.28</v>
      </c>
      <c r="AB31" s="214">
        <v>286.38</v>
      </c>
      <c r="AC31" s="214"/>
      <c r="AD31" s="214"/>
      <c r="AE31" s="214"/>
      <c r="AF31" s="214"/>
      <c r="AG31" s="214"/>
      <c r="AH31" s="215"/>
      <c r="AJ31" s="630">
        <f ca="1">IF(AND($D31="Serviço",AJ$12&lt;&gt;0,$H31&gt;0,OR(AUTOEVENTO&lt;&gt;"manual",$M31&lt;&gt;1)),
IF(Import.TipoArredondamento&lt;&gt;"TransfereGOV",
ROUND(OFFSET($P31,0,AJ$13),15-13*ORÇAMENTO!$AF$7)/$H31*OFFSET(ORÇAMENTO!$X$15,ROW(AJ31)-ROW(AJ$15),0),
ROUND(ROUND(OFFSET($P31,0,AJ$13),15-13*ORÇAMENTO!$AF$7)*OFFSET(ORÇAMENTO!$W$15,ROW(AJ31)-ROW(AJ$15),0),15-13*ORÇAMENTO!$AF$11)),0)</f>
        <v>0</v>
      </c>
      <c r="AK31" s="631">
        <f ca="1">IF(AND($D31="Serviço",AK$12&lt;&gt;0,$H31&gt;0,OR(AUTOEVENTO&lt;&gt;"manual",$M31&lt;&gt;1)),
IF(Import.TipoArredondamento&lt;&gt;"TransfereGOV",
ROUND(OFFSET($P31,0,AK$13),15-13*ORÇAMENTO!$AF$7)/$H31*OFFSET(ORÇAMENTO!$X$15,ROW(AK31)-ROW(AK$15),0),
ROUND(ROUND(OFFSET($P31,0,AK$13),15-13*ORÇAMENTO!$AF$7)*OFFSET(ORÇAMENTO!$W$15,ROW(AK31)-ROW(AK$15),0),15-13*ORÇAMENTO!$AF$11)),0)</f>
        <v>0</v>
      </c>
      <c r="AL31" s="631">
        <f ca="1">IF(AND($D31="Serviço",AL$12&lt;&gt;0,$H31&gt;0,OR(AUTOEVENTO&lt;&gt;"manual",$M31&lt;&gt;1)),
IF(Import.TipoArredondamento&lt;&gt;"TransfereGOV",
ROUND(OFFSET($P31,0,AL$13),15-13*ORÇAMENTO!$AF$7)/$H31*OFFSET(ORÇAMENTO!$X$15,ROW(AL31)-ROW(AL$15),0),
ROUND(ROUND(OFFSET($P31,0,AL$13),15-13*ORÇAMENTO!$AF$7)*OFFSET(ORÇAMENTO!$W$15,ROW(AL31)-ROW(AL$15),0),15-13*ORÇAMENTO!$AF$11)),0)</f>
        <v>0</v>
      </c>
      <c r="AM31" s="631">
        <f ca="1">IF(AND($D31="Serviço",AM$12&lt;&gt;0,$H31&gt;0,OR(AUTOEVENTO&lt;&gt;"manual",$M31&lt;&gt;1)),
IF(Import.TipoArredondamento&lt;&gt;"TransfereGOV",
ROUND(OFFSET($P31,0,AM$13),15-13*ORÇAMENTO!$AF$7)/$H31*OFFSET(ORÇAMENTO!$X$15,ROW(AM31)-ROW(AM$15),0),
ROUND(ROUND(OFFSET($P31,0,AM$13),15-13*ORÇAMENTO!$AF$7)*OFFSET(ORÇAMENTO!$W$15,ROW(AM31)-ROW(AM$15),0),15-13*ORÇAMENTO!$AF$11)),0)</f>
        <v>0</v>
      </c>
      <c r="AN31" s="631">
        <f ca="1">IF(AND($D31="Serviço",AN$12&lt;&gt;0,$H31&gt;0,OR(AUTOEVENTO&lt;&gt;"manual",$M31&lt;&gt;1)),
IF(Import.TipoArredondamento&lt;&gt;"TransfereGOV",
ROUND(OFFSET($P31,0,AN$13),15-13*ORÇAMENTO!$AF$7)/$H31*OFFSET(ORÇAMENTO!$X$15,ROW(AN31)-ROW(AN$15),0),
ROUND(ROUND(OFFSET($P31,0,AN$13),15-13*ORÇAMENTO!$AF$7)*OFFSET(ORÇAMENTO!$W$15,ROW(AN31)-ROW(AN$15),0),15-13*ORÇAMENTO!$AF$11)),0)</f>
        <v>0</v>
      </c>
      <c r="AO31" s="631">
        <f ca="1">IF(AND($D31="Serviço",AO$12&lt;&gt;0,$H31&gt;0,OR(AUTOEVENTO&lt;&gt;"manual",$M31&lt;&gt;1)),
IF(Import.TipoArredondamento&lt;&gt;"TransfereGOV",
ROUND(OFFSET($P31,0,AO$13),15-13*ORÇAMENTO!$AF$7)/$H31*OFFSET(ORÇAMENTO!$X$15,ROW(AO31)-ROW(AO$15),0),
ROUND(ROUND(OFFSET($P31,0,AO$13),15-13*ORÇAMENTO!$AF$7)*OFFSET(ORÇAMENTO!$W$15,ROW(AO31)-ROW(AO$15),0),15-13*ORÇAMENTO!$AF$11)),0)</f>
        <v>0</v>
      </c>
      <c r="AP31" s="631">
        <f ca="1">IF(AND($D31="Serviço",AP$12&lt;&gt;0,$H31&gt;0,OR(AUTOEVENTO&lt;&gt;"manual",$M31&lt;&gt;1)),
IF(Import.TipoArredondamento&lt;&gt;"TransfereGOV",
ROUND(OFFSET($P31,0,AP$13),15-13*ORÇAMENTO!$AF$7)/$H31*OFFSET(ORÇAMENTO!$X$15,ROW(AP31)-ROW(AP$15),0),
ROUND(ROUND(OFFSET($P31,0,AP$13),15-13*ORÇAMENTO!$AF$7)*OFFSET(ORÇAMENTO!$W$15,ROW(AP31)-ROW(AP$15),0),15-13*ORÇAMENTO!$AF$11)),0)</f>
        <v>0</v>
      </c>
      <c r="AQ31" s="631">
        <f ca="1">IF(AND($D31="Serviço",AQ$12&lt;&gt;0,$H31&gt;0,OR(AUTOEVENTO&lt;&gt;"manual",$M31&lt;&gt;1)),
IF(Import.TipoArredondamento&lt;&gt;"TransfereGOV",
ROUND(OFFSET($P31,0,AQ$13),15-13*ORÇAMENTO!$AF$7)/$H31*OFFSET(ORÇAMENTO!$X$15,ROW(AQ31)-ROW(AQ$15),0),
ROUND(ROUND(OFFSET($P31,0,AQ$13),15-13*ORÇAMENTO!$AF$7)*OFFSET(ORÇAMENTO!$W$15,ROW(AQ31)-ROW(AQ$15),0),15-13*ORÇAMENTO!$AF$11)),0)</f>
        <v>0</v>
      </c>
      <c r="AR31" s="631">
        <f ca="1">IF(AND($D31="Serviço",AR$12&lt;&gt;0,$H31&gt;0,OR(AUTOEVENTO&lt;&gt;"manual",$M31&lt;&gt;1)),
IF(Import.TipoArredondamento&lt;&gt;"TransfereGOV",
ROUND(OFFSET($P31,0,AR$13),15-13*ORÇAMENTO!$AF$7)/$H31*OFFSET(ORÇAMENTO!$X$15,ROW(AR31)-ROW(AR$15),0),
ROUND(ROUND(OFFSET($P31,0,AR$13),15-13*ORÇAMENTO!$AF$7)*OFFSET(ORÇAMENTO!$W$15,ROW(AR31)-ROW(AR$15),0),15-13*ORÇAMENTO!$AF$11)),0)</f>
        <v>0</v>
      </c>
      <c r="AS31" s="632">
        <f ca="1">IF(AND($D31="Serviço",AS$12&lt;&gt;0,$H31&gt;0,OR(AUTOEVENTO&lt;&gt;"manual",$M31&lt;&gt;1)),
IF(Import.TipoArredondamento&lt;&gt;"TransfereGOV",
ROUND(OFFSET($P31,0,AS$13),15-13*ORÇAMENTO!$AF$7)/$H31*OFFSET(ORÇAMENTO!$X$15,ROW(AS31)-ROW(AS$15),0),
ROUND(ROUND(OFFSET($P31,0,AS$13),15-13*ORÇAMENTO!$AF$7)*OFFSET(ORÇAMENTO!$W$15,ROW(AS31)-ROW(AS$15),0),15-13*ORÇAMENTO!$AF$11)),0)</f>
        <v>0</v>
      </c>
      <c r="AT31" s="631">
        <f ca="1">IF(AND($D31="Serviço",AT$12&lt;&gt;0,$H31&gt;0,OR(AUTOEVENTO&lt;&gt;"manual",$M31&lt;&gt;1)),
IF(Import.TipoArredondamento&lt;&gt;"TransfereGOV",
ROUND(OFFSET($P31,0,AT$13),15-13*ORÇAMENTO!$AF$7)/$H31*OFFSET(ORÇAMENTO!$X$15,ROW(AT31)-ROW(AT$15),0),
ROUND(ROUND(OFFSET($P31,0,AT$13),15-13*ORÇAMENTO!$AF$7)*OFFSET(ORÇAMENTO!$W$15,ROW(AT31)-ROW(AT$15),0),15-13*ORÇAMENTO!$AF$11)),0)</f>
        <v>0</v>
      </c>
      <c r="AU31" s="631">
        <f ca="1">IF(AND($D31="Serviço",AU$12&lt;&gt;0,$H31&gt;0,OR(AUTOEVENTO&lt;&gt;"manual",$M31&lt;&gt;1)),
IF(Import.TipoArredondamento&lt;&gt;"TransfereGOV",
ROUND(OFFSET($P31,0,AU$13),15-13*ORÇAMENTO!$AF$7)/$H31*OFFSET(ORÇAMENTO!$X$15,ROW(AU31)-ROW(AU$15),0),
ROUND(ROUND(OFFSET($P31,0,AU$13),15-13*ORÇAMENTO!$AF$7)*OFFSET(ORÇAMENTO!$W$15,ROW(AU31)-ROW(AU$15),0),15-13*ORÇAMENTO!$AF$11)),0)</f>
        <v>0</v>
      </c>
      <c r="AV31" s="631">
        <f ca="1">IF(AND($D31="Serviço",AV$12&lt;&gt;0,$H31&gt;0,OR(AUTOEVENTO&lt;&gt;"manual",$M31&lt;&gt;1)),
IF(Import.TipoArredondamento&lt;&gt;"TransfereGOV",
ROUND(OFFSET($P31,0,AV$13),15-13*ORÇAMENTO!$AF$7)/$H31*OFFSET(ORÇAMENTO!$X$15,ROW(AV31)-ROW(AV$15),0),
ROUND(ROUND(OFFSET($P31,0,AV$13),15-13*ORÇAMENTO!$AF$7)*OFFSET(ORÇAMENTO!$W$15,ROW(AV31)-ROW(AV$15),0),15-13*ORÇAMENTO!$AF$11)),0)</f>
        <v>0</v>
      </c>
      <c r="AW31" s="631">
        <f ca="1">IF(AND($D31="Serviço",AW$12&lt;&gt;0,$H31&gt;0,OR(AUTOEVENTO&lt;&gt;"manual",$M31&lt;&gt;1)),
IF(Import.TipoArredondamento&lt;&gt;"TransfereGOV",
ROUND(OFFSET($P31,0,AW$13),15-13*ORÇAMENTO!$AF$7)/$H31*OFFSET(ORÇAMENTO!$X$15,ROW(AW31)-ROW(AW$15),0),
ROUND(ROUND(OFFSET($P31,0,AW$13),15-13*ORÇAMENTO!$AF$7)*OFFSET(ORÇAMENTO!$W$15,ROW(AW31)-ROW(AW$15),0),15-13*ORÇAMENTO!$AF$11)),0)</f>
        <v>0</v>
      </c>
      <c r="AX31" s="631">
        <f ca="1">IF(AND($D31="Serviço",AX$12&lt;&gt;0,$H31&gt;0,OR(AUTOEVENTO&lt;&gt;"manual",$M31&lt;&gt;1)),
IF(Import.TipoArredondamento&lt;&gt;"TransfereGOV",
ROUND(OFFSET($P31,0,AX$13),15-13*ORÇAMENTO!$AF$7)/$H31*OFFSET(ORÇAMENTO!$X$15,ROW(AX31)-ROW(AX$15),0),
ROUND(ROUND(OFFSET($P31,0,AX$13),15-13*ORÇAMENTO!$AF$7)*OFFSET(ORÇAMENTO!$W$15,ROW(AX31)-ROW(AX$15),0),15-13*ORÇAMENTO!$AF$11)),0)</f>
        <v>0</v>
      </c>
      <c r="AY31" s="631">
        <f ca="1">IF(AND($D31="Serviço",AY$12&lt;&gt;0,$H31&gt;0,OR(AUTOEVENTO&lt;&gt;"manual",$M31&lt;&gt;1)),
IF(Import.TipoArredondamento&lt;&gt;"TransfereGOV",
ROUND(OFFSET($P31,0,AY$13),15-13*ORÇAMENTO!$AF$7)/$H31*OFFSET(ORÇAMENTO!$X$15,ROW(AY31)-ROW(AY$15),0),
ROUND(ROUND(OFFSET($P31,0,AY$13),15-13*ORÇAMENTO!$AF$7)*OFFSET(ORÇAMENTO!$W$15,ROW(AY31)-ROW(AY$15),0),15-13*ORÇAMENTO!$AF$11)),0)</f>
        <v>0</v>
      </c>
      <c r="AZ31" s="631">
        <f ca="1">IF(AND($D31="Serviço",AZ$12&lt;&gt;0,$H31&gt;0,OR(AUTOEVENTO&lt;&gt;"manual",$M31&lt;&gt;1)),
IF(Import.TipoArredondamento&lt;&gt;"TransfereGOV",
ROUND(OFFSET($P31,0,AZ$13),15-13*ORÇAMENTO!$AF$7)/$H31*OFFSET(ORÇAMENTO!$X$15,ROW(AZ31)-ROW(AZ$15),0),
ROUND(ROUND(OFFSET($P31,0,AZ$13),15-13*ORÇAMENTO!$AF$7)*OFFSET(ORÇAMENTO!$W$15,ROW(AZ31)-ROW(AZ$15),0),15-13*ORÇAMENTO!$AF$11)),0)</f>
        <v>0</v>
      </c>
      <c r="BA31" s="632">
        <f ca="1">IF(AND($D31="Serviço",BA$12&lt;&gt;0,$H31&gt;0,OR(AUTOEVENTO&lt;&gt;"manual",$M31&lt;&gt;1)),
IF(Import.TipoArredondamento&lt;&gt;"TransfereGOV",
ROUND(OFFSET($P31,0,BA$13),15-13*ORÇAMENTO!$AF$7)/$H31*OFFSET(ORÇAMENTO!$X$15,ROW(BA31)-ROW(BA$15),0),
ROUND(ROUND(OFFSET($P31,0,BA$13),15-13*ORÇAMENTO!$AF$7)*OFFSET(ORÇAMENTO!$W$15,ROW(BA31)-ROW(BA$15),0),15-13*ORÇAMENTO!$AF$11)),0)</f>
        <v>0</v>
      </c>
      <c r="BC31" s="216">
        <f ca="1">IF($D31&lt;&gt;"Serviço",0,IF(AND(AUTOEVENTO="Manual",$M31=1),0,IF(OFFSET(CRONOPLE!$F$14,$M31,BC$13)="",10^12,OFFSET(CRONOPLE!$F$14,$M31,BC$13))))</f>
        <v>1</v>
      </c>
      <c r="BD31" s="216">
        <f ca="1">IF($D31&lt;&gt;"Serviço",0,IF(AND(AUTOEVENTO="Manual",$M31=1),0,IF(OFFSET(CRONOPLE!$F$14,$M31,BD$13)="",10^12,OFFSET(CRONOPLE!$F$14,$M31,BD$13))))</f>
        <v>1</v>
      </c>
      <c r="BE31" s="216">
        <f ca="1">IF($D31&lt;&gt;"Serviço",0,IF(AND(AUTOEVENTO="Manual",$M31=1),0,IF(OFFSET(CRONOPLE!$F$14,$M31,BE$13)="",10^12,OFFSET(CRONOPLE!$F$14,$M31,BE$13))))</f>
        <v>2</v>
      </c>
      <c r="BF31" s="216">
        <f ca="1">IF($D31&lt;&gt;"Serviço",0,IF(AND(AUTOEVENTO="Manual",$M31=1),0,IF(OFFSET(CRONOPLE!$F$14,$M31,BF$13)="",10^12,OFFSET(CRONOPLE!$F$14,$M31,BF$13))))</f>
        <v>2</v>
      </c>
      <c r="BG31" s="216">
        <f ca="1">IF($D31&lt;&gt;"Serviço",0,IF(AND(AUTOEVENTO="Manual",$M31=1),0,IF(OFFSET(CRONOPLE!$F$14,$M31,BG$13)="",10^12,OFFSET(CRONOPLE!$F$14,$M31,BG$13))))</f>
        <v>3</v>
      </c>
      <c r="BH31" s="216">
        <f ca="1">IF($D31&lt;&gt;"Serviço",0,IF(AND(AUTOEVENTO="Manual",$M31=1),0,IF(OFFSET(CRONOPLE!$F$14,$M31,BH$13)="",10^12,OFFSET(CRONOPLE!$F$14,$M31,BH$13))))</f>
        <v>4</v>
      </c>
      <c r="BI31" s="216">
        <f ca="1">IF($D31&lt;&gt;"Serviço",0,IF(AND(AUTOEVENTO="Manual",$M31=1),0,IF(OFFSET(CRONOPLE!$F$14,$M31,BI$13)="",10^12,OFFSET(CRONOPLE!$F$14,$M31,BI$13))))</f>
        <v>4</v>
      </c>
      <c r="BJ31" s="216">
        <f ca="1">IF($D31&lt;&gt;"Serviço",0,IF(AND(AUTOEVENTO="Manual",$M31=1),0,IF(OFFSET(CRONOPLE!$F$14,$M31,BJ$13)="",10^12,OFFSET(CRONOPLE!$F$14,$M31,BJ$13))))</f>
        <v>4</v>
      </c>
      <c r="BK31" s="216">
        <f ca="1">IF($D31&lt;&gt;"Serviço",0,IF(AND(AUTOEVENTO="Manual",$M31=1),0,IF(OFFSET(CRONOPLE!$F$14,$M31,BK$13)="",10^12,OFFSET(CRONOPLE!$F$14,$M31,BK$13))))</f>
        <v>5</v>
      </c>
      <c r="BL31" s="216">
        <f ca="1">IF($D31&lt;&gt;"Serviço",0,IF(AND(AUTOEVENTO="Manual",$M31=1),0,IF(OFFSET(CRONOPLE!$F$14,$M31,BL$13)="",10^12,OFFSET(CRONOPLE!$F$14,$M31,BL$13))))</f>
        <v>5</v>
      </c>
      <c r="BM31" s="216">
        <f ca="1">IF($D31&lt;&gt;"Serviço",0,IF(AND(AUTOEVENTO="Manual",$M31=1),0,IF(OFFSET(CRONOPLE!$F$14,$M31,BM$13)="",10^12,OFFSET(CRONOPLE!$F$14,$M31,BM$13))))</f>
        <v>6</v>
      </c>
      <c r="BN31" s="216">
        <f ca="1">IF($D31&lt;&gt;"Serviço",0,IF(AND(AUTOEVENTO="Manual",$M31=1),0,IF(OFFSET(CRONOPLE!$F$14,$M31,BN$13)="",10^12,OFFSET(CRONOPLE!$F$14,$M31,BN$13))))</f>
        <v>6</v>
      </c>
      <c r="BO31" s="216">
        <f ca="1">IF($D31&lt;&gt;"Serviço",0,IF(AND(AUTOEVENTO="Manual",$M31=1),0,IF(OFFSET(CRONOPLE!$F$14,$M31,BO$13)="",10^12,OFFSET(CRONOPLE!$F$14,$M31,BO$13))))</f>
        <v>6</v>
      </c>
      <c r="BP31" s="216">
        <f ca="1">IF($D31&lt;&gt;"Serviço",0,IF(AND(AUTOEVENTO="Manual",$M31=1),0,IF(OFFSET(CRONOPLE!$F$14,$M31,BP$13)="",10^12,OFFSET(CRONOPLE!$F$14,$M31,BP$13))))</f>
        <v>1000000000000</v>
      </c>
      <c r="BQ31" s="216">
        <f ca="1">IF($D31&lt;&gt;"Serviço",0,IF(AND(AUTOEVENTO="Manual",$M31=1),0,IF(OFFSET(CRONOPLE!$F$14,$M31,BQ$13)="",10^12,OFFSET(CRONOPLE!$F$14,$M31,BQ$13))))</f>
        <v>1000000000000</v>
      </c>
      <c r="BR31" s="216">
        <f ca="1">IF($D31&lt;&gt;"Serviço",0,IF(AND(AUTOEVENTO="Manual",$M31=1),0,IF(OFFSET(CRONOPLE!$F$14,$M31,BR$13)="",10^12,OFFSET(CRONOPLE!$F$14,$M31,BR$13))))</f>
        <v>1000000000000</v>
      </c>
      <c r="BS31" s="216">
        <f ca="1">IF($D31&lt;&gt;"Serviço",0,IF(AND(AUTOEVENTO="Manual",$M31=1),0,IF(OFFSET(CRONOPLE!$F$14,$M31,BS$13)="",10^12,OFFSET(CRONOPLE!$F$14,$M31,BS$13))))</f>
        <v>1000000000000</v>
      </c>
      <c r="BT31" s="216">
        <f ca="1">IF($D31&lt;&gt;"Serviço",0,IF(AND(AUTOEVENTO="Manual",$M31=1),0,IF(OFFSET(CRONOPLE!$F$14,$M31,BT$13)="",10^12,OFFSET(CRONOPLE!$F$14,$M31,BT$13))))</f>
        <v>1000000000000</v>
      </c>
      <c r="BV31" s="217">
        <f ca="1">IF($D31&lt;&gt;"Serviço",0,IF(OR(AND(AUTOEVENTO="Manual",$M31=1),$M31&gt;(ROW(PLE.lastrow)-ROW(PLE.firstrow))),0,IF(OFFSET(PLE!$G$14,$M31,BV$13)="",10^12,OFFSET(PLE!$G$14,$M31,BV$13))))</f>
        <v>1000000000000</v>
      </c>
      <c r="BW31" s="217">
        <f ca="1">IF($D31&lt;&gt;"Serviço",0,IF(OR(AND(AUTOEVENTO="Manual",$M31=1),$M31&gt;(ROW(PLE.lastrow)-ROW(PLE.firstrow))),0,IF(OFFSET(PLE!$G$14,$M31,BW$13)="",10^12,OFFSET(PLE!$G$14,$M31,BW$13))))</f>
        <v>1000000000000</v>
      </c>
      <c r="BX31" s="217">
        <f ca="1">IF($D31&lt;&gt;"Serviço",0,IF(OR(AND(AUTOEVENTO="Manual",$M31=1),$M31&gt;(ROW(PLE.lastrow)-ROW(PLE.firstrow))),0,IF(OFFSET(PLE!$G$14,$M31,BX$13)="",10^12,OFFSET(PLE!$G$14,$M31,BX$13))))</f>
        <v>1000000000000</v>
      </c>
      <c r="BY31" s="217">
        <f ca="1">IF($D31&lt;&gt;"Serviço",0,IF(OR(AND(AUTOEVENTO="Manual",$M31=1),$M31&gt;(ROW(PLE.lastrow)-ROW(PLE.firstrow))),0,IF(OFFSET(PLE!$G$14,$M31,BY$13)="",10^12,OFFSET(PLE!$G$14,$M31,BY$13))))</f>
        <v>1000000000000</v>
      </c>
      <c r="BZ31" s="217">
        <f ca="1">IF($D31&lt;&gt;"Serviço",0,IF(OR(AND(AUTOEVENTO="Manual",$M31=1),$M31&gt;(ROW(PLE.lastrow)-ROW(PLE.firstrow))),0,IF(OFFSET(PLE!$G$14,$M31,BZ$13)="",10^12,OFFSET(PLE!$G$14,$M31,BZ$13))))</f>
        <v>1000000000000</v>
      </c>
      <c r="CA31" s="217">
        <f ca="1">IF($D31&lt;&gt;"Serviço",0,IF(OR(AND(AUTOEVENTO="Manual",$M31=1),$M31&gt;(ROW(PLE.lastrow)-ROW(PLE.firstrow))),0,IF(OFFSET(PLE!$G$14,$M31,CA$13)="",10^12,OFFSET(PLE!$G$14,$M31,CA$13))))</f>
        <v>1000000000000</v>
      </c>
      <c r="CB31" s="217">
        <f ca="1">IF($D31&lt;&gt;"Serviço",0,IF(OR(AND(AUTOEVENTO="Manual",$M31=1),$M31&gt;(ROW(PLE.lastrow)-ROW(PLE.firstrow))),0,IF(OFFSET(PLE!$G$14,$M31,CB$13)="",10^12,OFFSET(PLE!$G$14,$M31,CB$13))))</f>
        <v>1000000000000</v>
      </c>
      <c r="CC31" s="217">
        <f ca="1">IF($D31&lt;&gt;"Serviço",0,IF(OR(AND(AUTOEVENTO="Manual",$M31=1),$M31&gt;(ROW(PLE.lastrow)-ROW(PLE.firstrow))),0,IF(OFFSET(PLE!$G$14,$M31,CC$13)="",10^12,OFFSET(PLE!$G$14,$M31,CC$13))))</f>
        <v>1000000000000</v>
      </c>
      <c r="CD31" s="217">
        <f ca="1">IF($D31&lt;&gt;"Serviço",0,IF(OR(AND(AUTOEVENTO="Manual",$M31=1),$M31&gt;(ROW(PLE.lastrow)-ROW(PLE.firstrow))),0,IF(OFFSET(PLE!$G$14,$M31,CD$13)="",10^12,OFFSET(PLE!$G$14,$M31,CD$13))))</f>
        <v>1000000000000</v>
      </c>
      <c r="CE31" s="217">
        <f ca="1">IF($D31&lt;&gt;"Serviço",0,IF(OR(AND(AUTOEVENTO="Manual",$M31=1),$M31&gt;(ROW(PLE.lastrow)-ROW(PLE.firstrow))),0,IF(OFFSET(PLE!$G$14,$M31,CE$13)="",10^12,OFFSET(PLE!$G$14,$M31,CE$13))))</f>
        <v>1000000000000</v>
      </c>
      <c r="CF31" s="217">
        <f ca="1">IF($D31&lt;&gt;"Serviço",0,IF(OR(AND(AUTOEVENTO="Manual",$M31=1),$M31&gt;(ROW(PLE.lastrow)-ROW(PLE.firstrow))),0,IF(OFFSET(PLE!$G$14,$M31,CF$13)="",10^12,OFFSET(PLE!$G$14,$M31,CF$13))))</f>
        <v>1000000000000</v>
      </c>
      <c r="CG31" s="217">
        <f ca="1">IF($D31&lt;&gt;"Serviço",0,IF(OR(AND(AUTOEVENTO="Manual",$M31=1),$M31&gt;(ROW(PLE.lastrow)-ROW(PLE.firstrow))),0,IF(OFFSET(PLE!$G$14,$M31,CG$13)="",10^12,OFFSET(PLE!$G$14,$M31,CG$13))))</f>
        <v>1000000000000</v>
      </c>
      <c r="CH31" s="217">
        <f ca="1">IF($D31&lt;&gt;"Serviço",0,IF(OR(AND(AUTOEVENTO="Manual",$M31=1),$M31&gt;(ROW(PLE.lastrow)-ROW(PLE.firstrow))),0,IF(OFFSET(PLE!$G$14,$M31,CH$13)="",10^12,OFFSET(PLE!$G$14,$M31,CH$13))))</f>
        <v>1000000000000</v>
      </c>
      <c r="CI31" s="217">
        <f ca="1">IF($D31&lt;&gt;"Serviço",0,IF(OR(AND(AUTOEVENTO="Manual",$M31=1),$M31&gt;(ROW(PLE.lastrow)-ROW(PLE.firstrow))),0,IF(OFFSET(PLE!$G$14,$M31,CI$13)="",10^12,OFFSET(PLE!$G$14,$M31,CI$13))))</f>
        <v>1000000000000</v>
      </c>
      <c r="CJ31" s="217">
        <f ca="1">IF($D31&lt;&gt;"Serviço",0,IF(OR(AND(AUTOEVENTO="Manual",$M31=1),$M31&gt;(ROW(PLE.lastrow)-ROW(PLE.firstrow))),0,IF(OFFSET(PLE!$G$14,$M31,CJ$13)="",10^12,OFFSET(PLE!$G$14,$M31,CJ$13))))</f>
        <v>1000000000000</v>
      </c>
      <c r="CK31" s="217">
        <f ca="1">IF($D31&lt;&gt;"Serviço",0,IF(OR(AND(AUTOEVENTO="Manual",$M31=1),$M31&gt;(ROW(PLE.lastrow)-ROW(PLE.firstrow))),0,IF(OFFSET(PLE!$G$14,$M31,CK$13)="",10^12,OFFSET(PLE!$G$14,$M31,CK$13))))</f>
        <v>1000000000000</v>
      </c>
      <c r="CL31" s="217">
        <f ca="1">IF($D31&lt;&gt;"Serviço",0,IF(OR(AND(AUTOEVENTO="Manual",$M31=1),$M31&gt;(ROW(PLE.lastrow)-ROW(PLE.firstrow))),0,IF(OFFSET(PLE!$G$14,$M31,CL$13)="",10^12,OFFSET(PLE!$G$14,$M31,CL$13))))</f>
        <v>1000000000000</v>
      </c>
      <c r="CM31" s="217">
        <f ca="1">IF($D31&lt;&gt;"Serviço",0,IF(OR(AND(AUTOEVENTO="Manual",$M31=1),$M31&gt;(ROW(PLE.lastrow)-ROW(PLE.firstrow))),0,IF(OFFSET(PLE!$G$14,$M31,CM$13)="",10^12,OFFSET(PLE!$G$14,$M31,CM$13))))</f>
        <v>1000000000000</v>
      </c>
    </row>
    <row r="32" spans="1:91" ht="25.5" x14ac:dyDescent="0.2">
      <c r="A32" s="9" t="str">
        <f t="shared" ca="1" si="9"/>
        <v>15</v>
      </c>
      <c r="B32" s="9" t="str">
        <f ca="1">OFFSET(ORÇAMENTO!C$15,ROW(B32)-ROW(B$15),0)</f>
        <v>S</v>
      </c>
      <c r="C32" s="9" t="str">
        <f ca="1">OFFSET(ORÇAMENTO!L$15,ROW(C32)-ROW(C$15),0)</f>
        <v/>
      </c>
      <c r="D32" s="146" t="str">
        <f ca="1">OFFSET(ORÇAMENTO!N$15,ROW(D32)-ROW(D$15),0)</f>
        <v>Serviço</v>
      </c>
      <c r="E32" s="206" t="str">
        <f ca="1">OFFSET(ORÇAMENTO!O$15,ROW(E32)-ROW(E$15),0)</f>
        <v>-</v>
      </c>
      <c r="F32" s="207" t="str">
        <f ca="1">OFFSET(ORÇAMENTO!R$15,ROW(F32)-ROW(F$15),0)</f>
        <v>(abra o arquivo 'Referência 12-2023.xlsm)</v>
      </c>
      <c r="G32" s="208" t="str">
        <f ca="1">IF($D32&lt;&gt;"Serviço","",OFFSET(ORÇAMENTO!S$15,ROW(G32)-ROW(G$15),0))</f>
        <v>-</v>
      </c>
      <c r="H32" s="152">
        <f ca="1">IF($D32&lt;&gt;"Serviço",0,IF(ACOMPANHAMENTO="BM",ROUND(OFFSET(ORÇAMENTO!AJ$15,ROW(H32)-ROW(H$15),0),15-13*ORÇAMENTO!$AF$7),SUMPRODUCT(($Q$12:$AI$12&lt;&gt;"")*ROUND($Q32:$AI32,15-13*ORÇAMENTO!$AF$7))))</f>
        <v>18955.05</v>
      </c>
      <c r="I32" s="649" t="s">
        <v>504</v>
      </c>
      <c r="K32" s="209"/>
      <c r="L32" s="210" t="s">
        <v>255</v>
      </c>
      <c r="M32" s="211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212" t="str">
        <f ca="1">IF($D32&lt;&gt;"Serviço","",IF(AUTOEVENTO="Manual",IF($A32=0,"&lt;-- defina o número do agrupador",OFFSET(EVENTOS!$D$14,$A32,0)),OFFSET($F$15,$A32,0)))</f>
        <v>IMPRIMAÇÃO</v>
      </c>
      <c r="O32" s="213"/>
      <c r="Q32" s="213">
        <v>307.81</v>
      </c>
      <c r="R32" s="214">
        <v>1612.49</v>
      </c>
      <c r="S32" s="214">
        <v>1087.3800000000001</v>
      </c>
      <c r="T32" s="214">
        <v>2458.8200000000002</v>
      </c>
      <c r="U32" s="214">
        <v>4911.38</v>
      </c>
      <c r="V32" s="214">
        <v>268.82</v>
      </c>
      <c r="W32" s="214">
        <v>278.68</v>
      </c>
      <c r="X32" s="214">
        <v>2443.14</v>
      </c>
      <c r="Y32" s="215">
        <v>926.49</v>
      </c>
      <c r="Z32" s="214">
        <v>2523.2199999999998</v>
      </c>
      <c r="AA32" s="214">
        <v>1939.91</v>
      </c>
      <c r="AB32" s="214">
        <v>196.91</v>
      </c>
      <c r="AC32" s="214"/>
      <c r="AD32" s="214"/>
      <c r="AE32" s="214"/>
      <c r="AF32" s="214"/>
      <c r="AG32" s="214"/>
      <c r="AH32" s="215"/>
      <c r="AJ32" s="630">
        <f ca="1">IF(AND($D32="Serviço",AJ$12&lt;&gt;0,$H32&gt;0,OR(AUTOEVENTO&lt;&gt;"manual",$M32&lt;&gt;1)),
IF(Import.TipoArredondamento&lt;&gt;"TransfereGOV",
ROUND(OFFSET($P32,0,AJ$13),15-13*ORÇAMENTO!$AF$7)/$H32*OFFSET(ORÇAMENTO!$X$15,ROW(AJ32)-ROW(AJ$15),0),
ROUND(ROUND(OFFSET($P32,0,AJ$13),15-13*ORÇAMENTO!$AF$7)*OFFSET(ORÇAMENTO!$W$15,ROW(AJ32)-ROW(AJ$15),0),15-13*ORÇAMENTO!$AF$11)),0)</f>
        <v>0</v>
      </c>
      <c r="AK32" s="631">
        <f ca="1">IF(AND($D32="Serviço",AK$12&lt;&gt;0,$H32&gt;0,OR(AUTOEVENTO&lt;&gt;"manual",$M32&lt;&gt;1)),
IF(Import.TipoArredondamento&lt;&gt;"TransfereGOV",
ROUND(OFFSET($P32,0,AK$13),15-13*ORÇAMENTO!$AF$7)/$H32*OFFSET(ORÇAMENTO!$X$15,ROW(AK32)-ROW(AK$15),0),
ROUND(ROUND(OFFSET($P32,0,AK$13),15-13*ORÇAMENTO!$AF$7)*OFFSET(ORÇAMENTO!$W$15,ROW(AK32)-ROW(AK$15),0),15-13*ORÇAMENTO!$AF$11)),0)</f>
        <v>0</v>
      </c>
      <c r="AL32" s="631">
        <f ca="1">IF(AND($D32="Serviço",AL$12&lt;&gt;0,$H32&gt;0,OR(AUTOEVENTO&lt;&gt;"manual",$M32&lt;&gt;1)),
IF(Import.TipoArredondamento&lt;&gt;"TransfereGOV",
ROUND(OFFSET($P32,0,AL$13),15-13*ORÇAMENTO!$AF$7)/$H32*OFFSET(ORÇAMENTO!$X$15,ROW(AL32)-ROW(AL$15),0),
ROUND(ROUND(OFFSET($P32,0,AL$13),15-13*ORÇAMENTO!$AF$7)*OFFSET(ORÇAMENTO!$W$15,ROW(AL32)-ROW(AL$15),0),15-13*ORÇAMENTO!$AF$11)),0)</f>
        <v>0</v>
      </c>
      <c r="AM32" s="631">
        <f ca="1">IF(AND($D32="Serviço",AM$12&lt;&gt;0,$H32&gt;0,OR(AUTOEVENTO&lt;&gt;"manual",$M32&lt;&gt;1)),
IF(Import.TipoArredondamento&lt;&gt;"TransfereGOV",
ROUND(OFFSET($P32,0,AM$13),15-13*ORÇAMENTO!$AF$7)/$H32*OFFSET(ORÇAMENTO!$X$15,ROW(AM32)-ROW(AM$15),0),
ROUND(ROUND(OFFSET($P32,0,AM$13),15-13*ORÇAMENTO!$AF$7)*OFFSET(ORÇAMENTO!$W$15,ROW(AM32)-ROW(AM$15),0),15-13*ORÇAMENTO!$AF$11)),0)</f>
        <v>0</v>
      </c>
      <c r="AN32" s="631">
        <f ca="1">IF(AND($D32="Serviço",AN$12&lt;&gt;0,$H32&gt;0,OR(AUTOEVENTO&lt;&gt;"manual",$M32&lt;&gt;1)),
IF(Import.TipoArredondamento&lt;&gt;"TransfereGOV",
ROUND(OFFSET($P32,0,AN$13),15-13*ORÇAMENTO!$AF$7)/$H32*OFFSET(ORÇAMENTO!$X$15,ROW(AN32)-ROW(AN$15),0),
ROUND(ROUND(OFFSET($P32,0,AN$13),15-13*ORÇAMENTO!$AF$7)*OFFSET(ORÇAMENTO!$W$15,ROW(AN32)-ROW(AN$15),0),15-13*ORÇAMENTO!$AF$11)),0)</f>
        <v>0</v>
      </c>
      <c r="AO32" s="631">
        <f ca="1">IF(AND($D32="Serviço",AO$12&lt;&gt;0,$H32&gt;0,OR(AUTOEVENTO&lt;&gt;"manual",$M32&lt;&gt;1)),
IF(Import.TipoArredondamento&lt;&gt;"TransfereGOV",
ROUND(OFFSET($P32,0,AO$13),15-13*ORÇAMENTO!$AF$7)/$H32*OFFSET(ORÇAMENTO!$X$15,ROW(AO32)-ROW(AO$15),0),
ROUND(ROUND(OFFSET($P32,0,AO$13),15-13*ORÇAMENTO!$AF$7)*OFFSET(ORÇAMENTO!$W$15,ROW(AO32)-ROW(AO$15),0),15-13*ORÇAMENTO!$AF$11)),0)</f>
        <v>0</v>
      </c>
      <c r="AP32" s="631">
        <f ca="1">IF(AND($D32="Serviço",AP$12&lt;&gt;0,$H32&gt;0,OR(AUTOEVENTO&lt;&gt;"manual",$M32&lt;&gt;1)),
IF(Import.TipoArredondamento&lt;&gt;"TransfereGOV",
ROUND(OFFSET($P32,0,AP$13),15-13*ORÇAMENTO!$AF$7)/$H32*OFFSET(ORÇAMENTO!$X$15,ROW(AP32)-ROW(AP$15),0),
ROUND(ROUND(OFFSET($P32,0,AP$13),15-13*ORÇAMENTO!$AF$7)*OFFSET(ORÇAMENTO!$W$15,ROW(AP32)-ROW(AP$15),0),15-13*ORÇAMENTO!$AF$11)),0)</f>
        <v>0</v>
      </c>
      <c r="AQ32" s="631">
        <f ca="1">IF(AND($D32="Serviço",AQ$12&lt;&gt;0,$H32&gt;0,OR(AUTOEVENTO&lt;&gt;"manual",$M32&lt;&gt;1)),
IF(Import.TipoArredondamento&lt;&gt;"TransfereGOV",
ROUND(OFFSET($P32,0,AQ$13),15-13*ORÇAMENTO!$AF$7)/$H32*OFFSET(ORÇAMENTO!$X$15,ROW(AQ32)-ROW(AQ$15),0),
ROUND(ROUND(OFFSET($P32,0,AQ$13),15-13*ORÇAMENTO!$AF$7)*OFFSET(ORÇAMENTO!$W$15,ROW(AQ32)-ROW(AQ$15),0),15-13*ORÇAMENTO!$AF$11)),0)</f>
        <v>0</v>
      </c>
      <c r="AR32" s="631">
        <f ca="1">IF(AND($D32="Serviço",AR$12&lt;&gt;0,$H32&gt;0,OR(AUTOEVENTO&lt;&gt;"manual",$M32&lt;&gt;1)),
IF(Import.TipoArredondamento&lt;&gt;"TransfereGOV",
ROUND(OFFSET($P32,0,AR$13),15-13*ORÇAMENTO!$AF$7)/$H32*OFFSET(ORÇAMENTO!$X$15,ROW(AR32)-ROW(AR$15),0),
ROUND(ROUND(OFFSET($P32,0,AR$13),15-13*ORÇAMENTO!$AF$7)*OFFSET(ORÇAMENTO!$W$15,ROW(AR32)-ROW(AR$15),0),15-13*ORÇAMENTO!$AF$11)),0)</f>
        <v>0</v>
      </c>
      <c r="AS32" s="632">
        <f ca="1">IF(AND($D32="Serviço",AS$12&lt;&gt;0,$H32&gt;0,OR(AUTOEVENTO&lt;&gt;"manual",$M32&lt;&gt;1)),
IF(Import.TipoArredondamento&lt;&gt;"TransfereGOV",
ROUND(OFFSET($P32,0,AS$13),15-13*ORÇAMENTO!$AF$7)/$H32*OFFSET(ORÇAMENTO!$X$15,ROW(AS32)-ROW(AS$15),0),
ROUND(ROUND(OFFSET($P32,0,AS$13),15-13*ORÇAMENTO!$AF$7)*OFFSET(ORÇAMENTO!$W$15,ROW(AS32)-ROW(AS$15),0),15-13*ORÇAMENTO!$AF$11)),0)</f>
        <v>0</v>
      </c>
      <c r="AT32" s="631">
        <f ca="1">IF(AND($D32="Serviço",AT$12&lt;&gt;0,$H32&gt;0,OR(AUTOEVENTO&lt;&gt;"manual",$M32&lt;&gt;1)),
IF(Import.TipoArredondamento&lt;&gt;"TransfereGOV",
ROUND(OFFSET($P32,0,AT$13),15-13*ORÇAMENTO!$AF$7)/$H32*OFFSET(ORÇAMENTO!$X$15,ROW(AT32)-ROW(AT$15),0),
ROUND(ROUND(OFFSET($P32,0,AT$13),15-13*ORÇAMENTO!$AF$7)*OFFSET(ORÇAMENTO!$W$15,ROW(AT32)-ROW(AT$15),0),15-13*ORÇAMENTO!$AF$11)),0)</f>
        <v>0</v>
      </c>
      <c r="AU32" s="631">
        <f ca="1">IF(AND($D32="Serviço",AU$12&lt;&gt;0,$H32&gt;0,OR(AUTOEVENTO&lt;&gt;"manual",$M32&lt;&gt;1)),
IF(Import.TipoArredondamento&lt;&gt;"TransfereGOV",
ROUND(OFFSET($P32,0,AU$13),15-13*ORÇAMENTO!$AF$7)/$H32*OFFSET(ORÇAMENTO!$X$15,ROW(AU32)-ROW(AU$15),0),
ROUND(ROUND(OFFSET($P32,0,AU$13),15-13*ORÇAMENTO!$AF$7)*OFFSET(ORÇAMENTO!$W$15,ROW(AU32)-ROW(AU$15),0),15-13*ORÇAMENTO!$AF$11)),0)</f>
        <v>0</v>
      </c>
      <c r="AV32" s="631">
        <f ca="1">IF(AND($D32="Serviço",AV$12&lt;&gt;0,$H32&gt;0,OR(AUTOEVENTO&lt;&gt;"manual",$M32&lt;&gt;1)),
IF(Import.TipoArredondamento&lt;&gt;"TransfereGOV",
ROUND(OFFSET($P32,0,AV$13),15-13*ORÇAMENTO!$AF$7)/$H32*OFFSET(ORÇAMENTO!$X$15,ROW(AV32)-ROW(AV$15),0),
ROUND(ROUND(OFFSET($P32,0,AV$13),15-13*ORÇAMENTO!$AF$7)*OFFSET(ORÇAMENTO!$W$15,ROW(AV32)-ROW(AV$15),0),15-13*ORÇAMENTO!$AF$11)),0)</f>
        <v>0</v>
      </c>
      <c r="AW32" s="631">
        <f ca="1">IF(AND($D32="Serviço",AW$12&lt;&gt;0,$H32&gt;0,OR(AUTOEVENTO&lt;&gt;"manual",$M32&lt;&gt;1)),
IF(Import.TipoArredondamento&lt;&gt;"TransfereGOV",
ROUND(OFFSET($P32,0,AW$13),15-13*ORÇAMENTO!$AF$7)/$H32*OFFSET(ORÇAMENTO!$X$15,ROW(AW32)-ROW(AW$15),0),
ROUND(ROUND(OFFSET($P32,0,AW$13),15-13*ORÇAMENTO!$AF$7)*OFFSET(ORÇAMENTO!$W$15,ROW(AW32)-ROW(AW$15),0),15-13*ORÇAMENTO!$AF$11)),0)</f>
        <v>0</v>
      </c>
      <c r="AX32" s="631">
        <f ca="1">IF(AND($D32="Serviço",AX$12&lt;&gt;0,$H32&gt;0,OR(AUTOEVENTO&lt;&gt;"manual",$M32&lt;&gt;1)),
IF(Import.TipoArredondamento&lt;&gt;"TransfereGOV",
ROUND(OFFSET($P32,0,AX$13),15-13*ORÇAMENTO!$AF$7)/$H32*OFFSET(ORÇAMENTO!$X$15,ROW(AX32)-ROW(AX$15),0),
ROUND(ROUND(OFFSET($P32,0,AX$13),15-13*ORÇAMENTO!$AF$7)*OFFSET(ORÇAMENTO!$W$15,ROW(AX32)-ROW(AX$15),0),15-13*ORÇAMENTO!$AF$11)),0)</f>
        <v>0</v>
      </c>
      <c r="AY32" s="631">
        <f ca="1">IF(AND($D32="Serviço",AY$12&lt;&gt;0,$H32&gt;0,OR(AUTOEVENTO&lt;&gt;"manual",$M32&lt;&gt;1)),
IF(Import.TipoArredondamento&lt;&gt;"TransfereGOV",
ROUND(OFFSET($P32,0,AY$13),15-13*ORÇAMENTO!$AF$7)/$H32*OFFSET(ORÇAMENTO!$X$15,ROW(AY32)-ROW(AY$15),0),
ROUND(ROUND(OFFSET($P32,0,AY$13),15-13*ORÇAMENTO!$AF$7)*OFFSET(ORÇAMENTO!$W$15,ROW(AY32)-ROW(AY$15),0),15-13*ORÇAMENTO!$AF$11)),0)</f>
        <v>0</v>
      </c>
      <c r="AZ32" s="631">
        <f ca="1">IF(AND($D32="Serviço",AZ$12&lt;&gt;0,$H32&gt;0,OR(AUTOEVENTO&lt;&gt;"manual",$M32&lt;&gt;1)),
IF(Import.TipoArredondamento&lt;&gt;"TransfereGOV",
ROUND(OFFSET($P32,0,AZ$13),15-13*ORÇAMENTO!$AF$7)/$H32*OFFSET(ORÇAMENTO!$X$15,ROW(AZ32)-ROW(AZ$15),0),
ROUND(ROUND(OFFSET($P32,0,AZ$13),15-13*ORÇAMENTO!$AF$7)*OFFSET(ORÇAMENTO!$W$15,ROW(AZ32)-ROW(AZ$15),0),15-13*ORÇAMENTO!$AF$11)),0)</f>
        <v>0</v>
      </c>
      <c r="BA32" s="632">
        <f ca="1">IF(AND($D32="Serviço",BA$12&lt;&gt;0,$H32&gt;0,OR(AUTOEVENTO&lt;&gt;"manual",$M32&lt;&gt;1)),
IF(Import.TipoArredondamento&lt;&gt;"TransfereGOV",
ROUND(OFFSET($P32,0,BA$13),15-13*ORÇAMENTO!$AF$7)/$H32*OFFSET(ORÇAMENTO!$X$15,ROW(BA32)-ROW(BA$15),0),
ROUND(ROUND(OFFSET($P32,0,BA$13),15-13*ORÇAMENTO!$AF$7)*OFFSET(ORÇAMENTO!$W$15,ROW(BA32)-ROW(BA$15),0),15-13*ORÇAMENTO!$AF$11)),0)</f>
        <v>0</v>
      </c>
      <c r="BC32" s="216">
        <f ca="1">IF($D32&lt;&gt;"Serviço",0,IF(AND(AUTOEVENTO="Manual",$M32=1),0,IF(OFFSET(CRONOPLE!$F$14,$M32,BC$13)="",10^12,OFFSET(CRONOPLE!$F$14,$M32,BC$13))))</f>
        <v>1</v>
      </c>
      <c r="BD32" s="216">
        <f ca="1">IF($D32&lt;&gt;"Serviço",0,IF(AND(AUTOEVENTO="Manual",$M32=1),0,IF(OFFSET(CRONOPLE!$F$14,$M32,BD$13)="",10^12,OFFSET(CRONOPLE!$F$14,$M32,BD$13))))</f>
        <v>1</v>
      </c>
      <c r="BE32" s="216">
        <f ca="1">IF($D32&lt;&gt;"Serviço",0,IF(AND(AUTOEVENTO="Manual",$M32=1),0,IF(OFFSET(CRONOPLE!$F$14,$M32,BE$13)="",10^12,OFFSET(CRONOPLE!$F$14,$M32,BE$13))))</f>
        <v>2</v>
      </c>
      <c r="BF32" s="216">
        <f ca="1">IF($D32&lt;&gt;"Serviço",0,IF(AND(AUTOEVENTO="Manual",$M32=1),0,IF(OFFSET(CRONOPLE!$F$14,$M32,BF$13)="",10^12,OFFSET(CRONOPLE!$F$14,$M32,BF$13))))</f>
        <v>2</v>
      </c>
      <c r="BG32" s="216">
        <f ca="1">IF($D32&lt;&gt;"Serviço",0,IF(AND(AUTOEVENTO="Manual",$M32=1),0,IF(OFFSET(CRONOPLE!$F$14,$M32,BG$13)="",10^12,OFFSET(CRONOPLE!$F$14,$M32,BG$13))))</f>
        <v>3</v>
      </c>
      <c r="BH32" s="216">
        <f ca="1">IF($D32&lt;&gt;"Serviço",0,IF(AND(AUTOEVENTO="Manual",$M32=1),0,IF(OFFSET(CRONOPLE!$F$14,$M32,BH$13)="",10^12,OFFSET(CRONOPLE!$F$14,$M32,BH$13))))</f>
        <v>4</v>
      </c>
      <c r="BI32" s="216">
        <f ca="1">IF($D32&lt;&gt;"Serviço",0,IF(AND(AUTOEVENTO="Manual",$M32=1),0,IF(OFFSET(CRONOPLE!$F$14,$M32,BI$13)="",10^12,OFFSET(CRONOPLE!$F$14,$M32,BI$13))))</f>
        <v>4</v>
      </c>
      <c r="BJ32" s="216">
        <f ca="1">IF($D32&lt;&gt;"Serviço",0,IF(AND(AUTOEVENTO="Manual",$M32=1),0,IF(OFFSET(CRONOPLE!$F$14,$M32,BJ$13)="",10^12,OFFSET(CRONOPLE!$F$14,$M32,BJ$13))))</f>
        <v>4</v>
      </c>
      <c r="BK32" s="216">
        <f ca="1">IF($D32&lt;&gt;"Serviço",0,IF(AND(AUTOEVENTO="Manual",$M32=1),0,IF(OFFSET(CRONOPLE!$F$14,$M32,BK$13)="",10^12,OFFSET(CRONOPLE!$F$14,$M32,BK$13))))</f>
        <v>5</v>
      </c>
      <c r="BL32" s="216">
        <f ca="1">IF($D32&lt;&gt;"Serviço",0,IF(AND(AUTOEVENTO="Manual",$M32=1),0,IF(OFFSET(CRONOPLE!$F$14,$M32,BL$13)="",10^12,OFFSET(CRONOPLE!$F$14,$M32,BL$13))))</f>
        <v>5</v>
      </c>
      <c r="BM32" s="216">
        <f ca="1">IF($D32&lt;&gt;"Serviço",0,IF(AND(AUTOEVENTO="Manual",$M32=1),0,IF(OFFSET(CRONOPLE!$F$14,$M32,BM$13)="",10^12,OFFSET(CRONOPLE!$F$14,$M32,BM$13))))</f>
        <v>6</v>
      </c>
      <c r="BN32" s="216">
        <f ca="1">IF($D32&lt;&gt;"Serviço",0,IF(AND(AUTOEVENTO="Manual",$M32=1),0,IF(OFFSET(CRONOPLE!$F$14,$M32,BN$13)="",10^12,OFFSET(CRONOPLE!$F$14,$M32,BN$13))))</f>
        <v>6</v>
      </c>
      <c r="BO32" s="216">
        <f ca="1">IF($D32&lt;&gt;"Serviço",0,IF(AND(AUTOEVENTO="Manual",$M32=1),0,IF(OFFSET(CRONOPLE!$F$14,$M32,BO$13)="",10^12,OFFSET(CRONOPLE!$F$14,$M32,BO$13))))</f>
        <v>6</v>
      </c>
      <c r="BP32" s="216">
        <f ca="1">IF($D32&lt;&gt;"Serviço",0,IF(AND(AUTOEVENTO="Manual",$M32=1),0,IF(OFFSET(CRONOPLE!$F$14,$M32,BP$13)="",10^12,OFFSET(CRONOPLE!$F$14,$M32,BP$13))))</f>
        <v>1000000000000</v>
      </c>
      <c r="BQ32" s="216">
        <f ca="1">IF($D32&lt;&gt;"Serviço",0,IF(AND(AUTOEVENTO="Manual",$M32=1),0,IF(OFFSET(CRONOPLE!$F$14,$M32,BQ$13)="",10^12,OFFSET(CRONOPLE!$F$14,$M32,BQ$13))))</f>
        <v>1000000000000</v>
      </c>
      <c r="BR32" s="216">
        <f ca="1">IF($D32&lt;&gt;"Serviço",0,IF(AND(AUTOEVENTO="Manual",$M32=1),0,IF(OFFSET(CRONOPLE!$F$14,$M32,BR$13)="",10^12,OFFSET(CRONOPLE!$F$14,$M32,BR$13))))</f>
        <v>1000000000000</v>
      </c>
      <c r="BS32" s="216">
        <f ca="1">IF($D32&lt;&gt;"Serviço",0,IF(AND(AUTOEVENTO="Manual",$M32=1),0,IF(OFFSET(CRONOPLE!$F$14,$M32,BS$13)="",10^12,OFFSET(CRONOPLE!$F$14,$M32,BS$13))))</f>
        <v>1000000000000</v>
      </c>
      <c r="BT32" s="216">
        <f ca="1">IF($D32&lt;&gt;"Serviço",0,IF(AND(AUTOEVENTO="Manual",$M32=1),0,IF(OFFSET(CRONOPLE!$F$14,$M32,BT$13)="",10^12,OFFSET(CRONOPLE!$F$14,$M32,BT$13))))</f>
        <v>1000000000000</v>
      </c>
      <c r="BV32" s="217">
        <f ca="1">IF($D32&lt;&gt;"Serviço",0,IF(OR(AND(AUTOEVENTO="Manual",$M32=1),$M32&gt;(ROW(PLE.lastrow)-ROW(PLE.firstrow))),0,IF(OFFSET(PLE!$G$14,$M32,BV$13)="",10^12,OFFSET(PLE!$G$14,$M32,BV$13))))</f>
        <v>1000000000000</v>
      </c>
      <c r="BW32" s="217">
        <f ca="1">IF($D32&lt;&gt;"Serviço",0,IF(OR(AND(AUTOEVENTO="Manual",$M32=1),$M32&gt;(ROW(PLE.lastrow)-ROW(PLE.firstrow))),0,IF(OFFSET(PLE!$G$14,$M32,BW$13)="",10^12,OFFSET(PLE!$G$14,$M32,BW$13))))</f>
        <v>1000000000000</v>
      </c>
      <c r="BX32" s="217">
        <f ca="1">IF($D32&lt;&gt;"Serviço",0,IF(OR(AND(AUTOEVENTO="Manual",$M32=1),$M32&gt;(ROW(PLE.lastrow)-ROW(PLE.firstrow))),0,IF(OFFSET(PLE!$G$14,$M32,BX$13)="",10^12,OFFSET(PLE!$G$14,$M32,BX$13))))</f>
        <v>1000000000000</v>
      </c>
      <c r="BY32" s="217">
        <f ca="1">IF($D32&lt;&gt;"Serviço",0,IF(OR(AND(AUTOEVENTO="Manual",$M32=1),$M32&gt;(ROW(PLE.lastrow)-ROW(PLE.firstrow))),0,IF(OFFSET(PLE!$G$14,$M32,BY$13)="",10^12,OFFSET(PLE!$G$14,$M32,BY$13))))</f>
        <v>1000000000000</v>
      </c>
      <c r="BZ32" s="217">
        <f ca="1">IF($D32&lt;&gt;"Serviço",0,IF(OR(AND(AUTOEVENTO="Manual",$M32=1),$M32&gt;(ROW(PLE.lastrow)-ROW(PLE.firstrow))),0,IF(OFFSET(PLE!$G$14,$M32,BZ$13)="",10^12,OFFSET(PLE!$G$14,$M32,BZ$13))))</f>
        <v>1000000000000</v>
      </c>
      <c r="CA32" s="217">
        <f ca="1">IF($D32&lt;&gt;"Serviço",0,IF(OR(AND(AUTOEVENTO="Manual",$M32=1),$M32&gt;(ROW(PLE.lastrow)-ROW(PLE.firstrow))),0,IF(OFFSET(PLE!$G$14,$M32,CA$13)="",10^12,OFFSET(PLE!$G$14,$M32,CA$13))))</f>
        <v>1000000000000</v>
      </c>
      <c r="CB32" s="217">
        <f ca="1">IF($D32&lt;&gt;"Serviço",0,IF(OR(AND(AUTOEVENTO="Manual",$M32=1),$M32&gt;(ROW(PLE.lastrow)-ROW(PLE.firstrow))),0,IF(OFFSET(PLE!$G$14,$M32,CB$13)="",10^12,OFFSET(PLE!$G$14,$M32,CB$13))))</f>
        <v>1000000000000</v>
      </c>
      <c r="CC32" s="217">
        <f ca="1">IF($D32&lt;&gt;"Serviço",0,IF(OR(AND(AUTOEVENTO="Manual",$M32=1),$M32&gt;(ROW(PLE.lastrow)-ROW(PLE.firstrow))),0,IF(OFFSET(PLE!$G$14,$M32,CC$13)="",10^12,OFFSET(PLE!$G$14,$M32,CC$13))))</f>
        <v>1000000000000</v>
      </c>
      <c r="CD32" s="217">
        <f ca="1">IF($D32&lt;&gt;"Serviço",0,IF(OR(AND(AUTOEVENTO="Manual",$M32=1),$M32&gt;(ROW(PLE.lastrow)-ROW(PLE.firstrow))),0,IF(OFFSET(PLE!$G$14,$M32,CD$13)="",10^12,OFFSET(PLE!$G$14,$M32,CD$13))))</f>
        <v>1000000000000</v>
      </c>
      <c r="CE32" s="217">
        <f ca="1">IF($D32&lt;&gt;"Serviço",0,IF(OR(AND(AUTOEVENTO="Manual",$M32=1),$M32&gt;(ROW(PLE.lastrow)-ROW(PLE.firstrow))),0,IF(OFFSET(PLE!$G$14,$M32,CE$13)="",10^12,OFFSET(PLE!$G$14,$M32,CE$13))))</f>
        <v>1000000000000</v>
      </c>
      <c r="CF32" s="217">
        <f ca="1">IF($D32&lt;&gt;"Serviço",0,IF(OR(AND(AUTOEVENTO="Manual",$M32=1),$M32&gt;(ROW(PLE.lastrow)-ROW(PLE.firstrow))),0,IF(OFFSET(PLE!$G$14,$M32,CF$13)="",10^12,OFFSET(PLE!$G$14,$M32,CF$13))))</f>
        <v>1000000000000</v>
      </c>
      <c r="CG32" s="217">
        <f ca="1">IF($D32&lt;&gt;"Serviço",0,IF(OR(AND(AUTOEVENTO="Manual",$M32=1),$M32&gt;(ROW(PLE.lastrow)-ROW(PLE.firstrow))),0,IF(OFFSET(PLE!$G$14,$M32,CG$13)="",10^12,OFFSET(PLE!$G$14,$M32,CG$13))))</f>
        <v>1000000000000</v>
      </c>
      <c r="CH32" s="217">
        <f ca="1">IF($D32&lt;&gt;"Serviço",0,IF(OR(AND(AUTOEVENTO="Manual",$M32=1),$M32&gt;(ROW(PLE.lastrow)-ROW(PLE.firstrow))),0,IF(OFFSET(PLE!$G$14,$M32,CH$13)="",10^12,OFFSET(PLE!$G$14,$M32,CH$13))))</f>
        <v>1000000000000</v>
      </c>
      <c r="CI32" s="217">
        <f ca="1">IF($D32&lt;&gt;"Serviço",0,IF(OR(AND(AUTOEVENTO="Manual",$M32=1),$M32&gt;(ROW(PLE.lastrow)-ROW(PLE.firstrow))),0,IF(OFFSET(PLE!$G$14,$M32,CI$13)="",10^12,OFFSET(PLE!$G$14,$M32,CI$13))))</f>
        <v>1000000000000</v>
      </c>
      <c r="CJ32" s="217">
        <f ca="1">IF($D32&lt;&gt;"Serviço",0,IF(OR(AND(AUTOEVENTO="Manual",$M32=1),$M32&gt;(ROW(PLE.lastrow)-ROW(PLE.firstrow))),0,IF(OFFSET(PLE!$G$14,$M32,CJ$13)="",10^12,OFFSET(PLE!$G$14,$M32,CJ$13))))</f>
        <v>1000000000000</v>
      </c>
      <c r="CK32" s="217">
        <f ca="1">IF($D32&lt;&gt;"Serviço",0,IF(OR(AND(AUTOEVENTO="Manual",$M32=1),$M32&gt;(ROW(PLE.lastrow)-ROW(PLE.firstrow))),0,IF(OFFSET(PLE!$G$14,$M32,CK$13)="",10^12,OFFSET(PLE!$G$14,$M32,CK$13))))</f>
        <v>1000000000000</v>
      </c>
      <c r="CL32" s="217">
        <f ca="1">IF($D32&lt;&gt;"Serviço",0,IF(OR(AND(AUTOEVENTO="Manual",$M32=1),$M32&gt;(ROW(PLE.lastrow)-ROW(PLE.firstrow))),0,IF(OFFSET(PLE!$G$14,$M32,CL$13)="",10^12,OFFSET(PLE!$G$14,$M32,CL$13))))</f>
        <v>1000000000000</v>
      </c>
      <c r="CM32" s="217">
        <f ca="1">IF($D32&lt;&gt;"Serviço",0,IF(OR(AND(AUTOEVENTO="Manual",$M32=1),$M32&gt;(ROW(PLE.lastrow)-ROW(PLE.firstrow))),0,IF(OFFSET(PLE!$G$14,$M32,CM$13)="",10^12,OFFSET(PLE!$G$14,$M32,CM$13))))</f>
        <v>1000000000000</v>
      </c>
    </row>
    <row r="33" spans="1:91" ht="12.75" x14ac:dyDescent="0.2">
      <c r="A33" s="9" t="str">
        <f t="shared" ca="1" si="9"/>
        <v>18.</v>
      </c>
      <c r="B33" s="9">
        <f ca="1">OFFSET(ORÇAMENTO!C$15,ROW(B33)-ROW(B$15),0)</f>
        <v>2</v>
      </c>
      <c r="C33" s="9" t="str">
        <f ca="1">OFFSET(ORÇAMENTO!L$15,ROW(C33)-ROW(C$15),0)</f>
        <v>F</v>
      </c>
      <c r="D33" s="146" t="str">
        <f ca="1">OFFSET(ORÇAMENTO!N$15,ROW(D33)-ROW(D$15),0)</f>
        <v>Nível 2</v>
      </c>
      <c r="E33" s="206" t="str">
        <f ca="1">OFFSET(ORÇAMENTO!O$15,ROW(E33)-ROW(E$15),0)</f>
        <v>1.4.</v>
      </c>
      <c r="F33" s="207" t="str">
        <f ca="1">OFFSET(ORÇAMENTO!R$15,ROW(F33)-ROW(F$15),0)</f>
        <v>PINTURA DE LIGAÇÃO</v>
      </c>
      <c r="G33" s="208" t="str">
        <f ca="1">IF($D33&lt;&gt;"Serviço","",OFFSET(ORÇAMENTO!S$15,ROW(G33)-ROW(G$15),0))</f>
        <v/>
      </c>
      <c r="H33" s="152">
        <f ca="1">IF($D33&lt;&gt;"Serviço",0,IF(ACOMPANHAMENTO="BM",ROUND(OFFSET(ORÇAMENTO!AJ$15,ROW(H33)-ROW(H$15),0),15-13*ORÇAMENTO!$AF$7),SUMPRODUCT(($Q$12:$AI$12&lt;&gt;"")*ROUND($Q33:$AI33,15-13*ORÇAMENTO!$AF$7))))</f>
        <v>0</v>
      </c>
      <c r="I33" s="649"/>
      <c r="K33" s="209"/>
      <c r="L33" s="210" t="s">
        <v>255</v>
      </c>
      <c r="M33" s="211" t="str">
        <f ca="1">IF($D33&lt;&gt;"Serviço","",IF(AUTOEVENTO="manual",$A33,IF(ISERROR(MATCH($A33,$A$15:OFFSET($A33,-1,0),0)),MAX($M$15:OFFSET(M33,-1,0))+1,INDEX($M$15:OFFSET(M33,-1,0),MATCH($A33,$A$15:OFFSET($A33,-1,0),0)))))</f>
        <v/>
      </c>
      <c r="N33" s="212" t="str">
        <f ca="1">IF($D33&lt;&gt;"Serviço","",IF(AUTOEVENTO="Manual",IF($A33=0,"&lt;-- defina o número do agrupador",OFFSET(EVENTOS!$D$14,$A33,0)),OFFSET($F$15,$A33,0)))</f>
        <v/>
      </c>
      <c r="O33" s="213"/>
      <c r="Q33" s="213"/>
      <c r="R33" s="214"/>
      <c r="S33" s="214"/>
      <c r="T33" s="214"/>
      <c r="U33" s="214"/>
      <c r="V33" s="214"/>
      <c r="W33" s="214"/>
      <c r="X33" s="214"/>
      <c r="Y33" s="215"/>
      <c r="Z33" s="214"/>
      <c r="AA33" s="214"/>
      <c r="AB33" s="214"/>
      <c r="AC33" s="214"/>
      <c r="AD33" s="214"/>
      <c r="AE33" s="214"/>
      <c r="AF33" s="214"/>
      <c r="AG33" s="214"/>
      <c r="AH33" s="215"/>
      <c r="AJ33" s="630">
        <f ca="1">IF(AND($D33="Serviço",AJ$12&lt;&gt;0,$H33&gt;0,OR(AUTOEVENTO&lt;&gt;"manual",$M33&lt;&gt;1)),
IF(Import.TipoArredondamento&lt;&gt;"TransfereGOV",
ROUND(OFFSET($P33,0,AJ$13),15-13*ORÇAMENTO!$AF$7)/$H33*OFFSET(ORÇAMENTO!$X$15,ROW(AJ33)-ROW(AJ$15),0),
ROUND(ROUND(OFFSET($P33,0,AJ$13),15-13*ORÇAMENTO!$AF$7)*OFFSET(ORÇAMENTO!$W$15,ROW(AJ33)-ROW(AJ$15),0),15-13*ORÇAMENTO!$AF$11)),0)</f>
        <v>0</v>
      </c>
      <c r="AK33" s="631">
        <f ca="1">IF(AND($D33="Serviço",AK$12&lt;&gt;0,$H33&gt;0,OR(AUTOEVENTO&lt;&gt;"manual",$M33&lt;&gt;1)),
IF(Import.TipoArredondamento&lt;&gt;"TransfereGOV",
ROUND(OFFSET($P33,0,AK$13),15-13*ORÇAMENTO!$AF$7)/$H33*OFFSET(ORÇAMENTO!$X$15,ROW(AK33)-ROW(AK$15),0),
ROUND(ROUND(OFFSET($P33,0,AK$13),15-13*ORÇAMENTO!$AF$7)*OFFSET(ORÇAMENTO!$W$15,ROW(AK33)-ROW(AK$15),0),15-13*ORÇAMENTO!$AF$11)),0)</f>
        <v>0</v>
      </c>
      <c r="AL33" s="631">
        <f ca="1">IF(AND($D33="Serviço",AL$12&lt;&gt;0,$H33&gt;0,OR(AUTOEVENTO&lt;&gt;"manual",$M33&lt;&gt;1)),
IF(Import.TipoArredondamento&lt;&gt;"TransfereGOV",
ROUND(OFFSET($P33,0,AL$13),15-13*ORÇAMENTO!$AF$7)/$H33*OFFSET(ORÇAMENTO!$X$15,ROW(AL33)-ROW(AL$15),0),
ROUND(ROUND(OFFSET($P33,0,AL$13),15-13*ORÇAMENTO!$AF$7)*OFFSET(ORÇAMENTO!$W$15,ROW(AL33)-ROW(AL$15),0),15-13*ORÇAMENTO!$AF$11)),0)</f>
        <v>0</v>
      </c>
      <c r="AM33" s="631">
        <f ca="1">IF(AND($D33="Serviço",AM$12&lt;&gt;0,$H33&gt;0,OR(AUTOEVENTO&lt;&gt;"manual",$M33&lt;&gt;1)),
IF(Import.TipoArredondamento&lt;&gt;"TransfereGOV",
ROUND(OFFSET($P33,0,AM$13),15-13*ORÇAMENTO!$AF$7)/$H33*OFFSET(ORÇAMENTO!$X$15,ROW(AM33)-ROW(AM$15),0),
ROUND(ROUND(OFFSET($P33,0,AM$13),15-13*ORÇAMENTO!$AF$7)*OFFSET(ORÇAMENTO!$W$15,ROW(AM33)-ROW(AM$15),0),15-13*ORÇAMENTO!$AF$11)),0)</f>
        <v>0</v>
      </c>
      <c r="AN33" s="631">
        <f ca="1">IF(AND($D33="Serviço",AN$12&lt;&gt;0,$H33&gt;0,OR(AUTOEVENTO&lt;&gt;"manual",$M33&lt;&gt;1)),
IF(Import.TipoArredondamento&lt;&gt;"TransfereGOV",
ROUND(OFFSET($P33,0,AN$13),15-13*ORÇAMENTO!$AF$7)/$H33*OFFSET(ORÇAMENTO!$X$15,ROW(AN33)-ROW(AN$15),0),
ROUND(ROUND(OFFSET($P33,0,AN$13),15-13*ORÇAMENTO!$AF$7)*OFFSET(ORÇAMENTO!$W$15,ROW(AN33)-ROW(AN$15),0),15-13*ORÇAMENTO!$AF$11)),0)</f>
        <v>0</v>
      </c>
      <c r="AO33" s="631">
        <f ca="1">IF(AND($D33="Serviço",AO$12&lt;&gt;0,$H33&gt;0,OR(AUTOEVENTO&lt;&gt;"manual",$M33&lt;&gt;1)),
IF(Import.TipoArredondamento&lt;&gt;"TransfereGOV",
ROUND(OFFSET($P33,0,AO$13),15-13*ORÇAMENTO!$AF$7)/$H33*OFFSET(ORÇAMENTO!$X$15,ROW(AO33)-ROW(AO$15),0),
ROUND(ROUND(OFFSET($P33,0,AO$13),15-13*ORÇAMENTO!$AF$7)*OFFSET(ORÇAMENTO!$W$15,ROW(AO33)-ROW(AO$15),0),15-13*ORÇAMENTO!$AF$11)),0)</f>
        <v>0</v>
      </c>
      <c r="AP33" s="631">
        <f ca="1">IF(AND($D33="Serviço",AP$12&lt;&gt;0,$H33&gt;0,OR(AUTOEVENTO&lt;&gt;"manual",$M33&lt;&gt;1)),
IF(Import.TipoArredondamento&lt;&gt;"TransfereGOV",
ROUND(OFFSET($P33,0,AP$13),15-13*ORÇAMENTO!$AF$7)/$H33*OFFSET(ORÇAMENTO!$X$15,ROW(AP33)-ROW(AP$15),0),
ROUND(ROUND(OFFSET($P33,0,AP$13),15-13*ORÇAMENTO!$AF$7)*OFFSET(ORÇAMENTO!$W$15,ROW(AP33)-ROW(AP$15),0),15-13*ORÇAMENTO!$AF$11)),0)</f>
        <v>0</v>
      </c>
      <c r="AQ33" s="631">
        <f ca="1">IF(AND($D33="Serviço",AQ$12&lt;&gt;0,$H33&gt;0,OR(AUTOEVENTO&lt;&gt;"manual",$M33&lt;&gt;1)),
IF(Import.TipoArredondamento&lt;&gt;"TransfereGOV",
ROUND(OFFSET($P33,0,AQ$13),15-13*ORÇAMENTO!$AF$7)/$H33*OFFSET(ORÇAMENTO!$X$15,ROW(AQ33)-ROW(AQ$15),0),
ROUND(ROUND(OFFSET($P33,0,AQ$13),15-13*ORÇAMENTO!$AF$7)*OFFSET(ORÇAMENTO!$W$15,ROW(AQ33)-ROW(AQ$15),0),15-13*ORÇAMENTO!$AF$11)),0)</f>
        <v>0</v>
      </c>
      <c r="AR33" s="631">
        <f ca="1">IF(AND($D33="Serviço",AR$12&lt;&gt;0,$H33&gt;0,OR(AUTOEVENTO&lt;&gt;"manual",$M33&lt;&gt;1)),
IF(Import.TipoArredondamento&lt;&gt;"TransfereGOV",
ROUND(OFFSET($P33,0,AR$13),15-13*ORÇAMENTO!$AF$7)/$H33*OFFSET(ORÇAMENTO!$X$15,ROW(AR33)-ROW(AR$15),0),
ROUND(ROUND(OFFSET($P33,0,AR$13),15-13*ORÇAMENTO!$AF$7)*OFFSET(ORÇAMENTO!$W$15,ROW(AR33)-ROW(AR$15),0),15-13*ORÇAMENTO!$AF$11)),0)</f>
        <v>0</v>
      </c>
      <c r="AS33" s="632">
        <f ca="1">IF(AND($D33="Serviço",AS$12&lt;&gt;0,$H33&gt;0,OR(AUTOEVENTO&lt;&gt;"manual",$M33&lt;&gt;1)),
IF(Import.TipoArredondamento&lt;&gt;"TransfereGOV",
ROUND(OFFSET($P33,0,AS$13),15-13*ORÇAMENTO!$AF$7)/$H33*OFFSET(ORÇAMENTO!$X$15,ROW(AS33)-ROW(AS$15),0),
ROUND(ROUND(OFFSET($P33,0,AS$13),15-13*ORÇAMENTO!$AF$7)*OFFSET(ORÇAMENTO!$W$15,ROW(AS33)-ROW(AS$15),0),15-13*ORÇAMENTO!$AF$11)),0)</f>
        <v>0</v>
      </c>
      <c r="AT33" s="631">
        <f ca="1">IF(AND($D33="Serviço",AT$12&lt;&gt;0,$H33&gt;0,OR(AUTOEVENTO&lt;&gt;"manual",$M33&lt;&gt;1)),
IF(Import.TipoArredondamento&lt;&gt;"TransfereGOV",
ROUND(OFFSET($P33,0,AT$13),15-13*ORÇAMENTO!$AF$7)/$H33*OFFSET(ORÇAMENTO!$X$15,ROW(AT33)-ROW(AT$15),0),
ROUND(ROUND(OFFSET($P33,0,AT$13),15-13*ORÇAMENTO!$AF$7)*OFFSET(ORÇAMENTO!$W$15,ROW(AT33)-ROW(AT$15),0),15-13*ORÇAMENTO!$AF$11)),0)</f>
        <v>0</v>
      </c>
      <c r="AU33" s="631">
        <f ca="1">IF(AND($D33="Serviço",AU$12&lt;&gt;0,$H33&gt;0,OR(AUTOEVENTO&lt;&gt;"manual",$M33&lt;&gt;1)),
IF(Import.TipoArredondamento&lt;&gt;"TransfereGOV",
ROUND(OFFSET($P33,0,AU$13),15-13*ORÇAMENTO!$AF$7)/$H33*OFFSET(ORÇAMENTO!$X$15,ROW(AU33)-ROW(AU$15),0),
ROUND(ROUND(OFFSET($P33,0,AU$13),15-13*ORÇAMENTO!$AF$7)*OFFSET(ORÇAMENTO!$W$15,ROW(AU33)-ROW(AU$15),0),15-13*ORÇAMENTO!$AF$11)),0)</f>
        <v>0</v>
      </c>
      <c r="AV33" s="631">
        <f ca="1">IF(AND($D33="Serviço",AV$12&lt;&gt;0,$H33&gt;0,OR(AUTOEVENTO&lt;&gt;"manual",$M33&lt;&gt;1)),
IF(Import.TipoArredondamento&lt;&gt;"TransfereGOV",
ROUND(OFFSET($P33,0,AV$13),15-13*ORÇAMENTO!$AF$7)/$H33*OFFSET(ORÇAMENTO!$X$15,ROW(AV33)-ROW(AV$15),0),
ROUND(ROUND(OFFSET($P33,0,AV$13),15-13*ORÇAMENTO!$AF$7)*OFFSET(ORÇAMENTO!$W$15,ROW(AV33)-ROW(AV$15),0),15-13*ORÇAMENTO!$AF$11)),0)</f>
        <v>0</v>
      </c>
      <c r="AW33" s="631">
        <f ca="1">IF(AND($D33="Serviço",AW$12&lt;&gt;0,$H33&gt;0,OR(AUTOEVENTO&lt;&gt;"manual",$M33&lt;&gt;1)),
IF(Import.TipoArredondamento&lt;&gt;"TransfereGOV",
ROUND(OFFSET($P33,0,AW$13),15-13*ORÇAMENTO!$AF$7)/$H33*OFFSET(ORÇAMENTO!$X$15,ROW(AW33)-ROW(AW$15),0),
ROUND(ROUND(OFFSET($P33,0,AW$13),15-13*ORÇAMENTO!$AF$7)*OFFSET(ORÇAMENTO!$W$15,ROW(AW33)-ROW(AW$15),0),15-13*ORÇAMENTO!$AF$11)),0)</f>
        <v>0</v>
      </c>
      <c r="AX33" s="631">
        <f ca="1">IF(AND($D33="Serviço",AX$12&lt;&gt;0,$H33&gt;0,OR(AUTOEVENTO&lt;&gt;"manual",$M33&lt;&gt;1)),
IF(Import.TipoArredondamento&lt;&gt;"TransfereGOV",
ROUND(OFFSET($P33,0,AX$13),15-13*ORÇAMENTO!$AF$7)/$H33*OFFSET(ORÇAMENTO!$X$15,ROW(AX33)-ROW(AX$15),0),
ROUND(ROUND(OFFSET($P33,0,AX$13),15-13*ORÇAMENTO!$AF$7)*OFFSET(ORÇAMENTO!$W$15,ROW(AX33)-ROW(AX$15),0),15-13*ORÇAMENTO!$AF$11)),0)</f>
        <v>0</v>
      </c>
      <c r="AY33" s="631">
        <f ca="1">IF(AND($D33="Serviço",AY$12&lt;&gt;0,$H33&gt;0,OR(AUTOEVENTO&lt;&gt;"manual",$M33&lt;&gt;1)),
IF(Import.TipoArredondamento&lt;&gt;"TransfereGOV",
ROUND(OFFSET($P33,0,AY$13),15-13*ORÇAMENTO!$AF$7)/$H33*OFFSET(ORÇAMENTO!$X$15,ROW(AY33)-ROW(AY$15),0),
ROUND(ROUND(OFFSET($P33,0,AY$13),15-13*ORÇAMENTO!$AF$7)*OFFSET(ORÇAMENTO!$W$15,ROW(AY33)-ROW(AY$15),0),15-13*ORÇAMENTO!$AF$11)),0)</f>
        <v>0</v>
      </c>
      <c r="AZ33" s="631">
        <f ca="1">IF(AND($D33="Serviço",AZ$12&lt;&gt;0,$H33&gt;0,OR(AUTOEVENTO&lt;&gt;"manual",$M33&lt;&gt;1)),
IF(Import.TipoArredondamento&lt;&gt;"TransfereGOV",
ROUND(OFFSET($P33,0,AZ$13),15-13*ORÇAMENTO!$AF$7)/$H33*OFFSET(ORÇAMENTO!$X$15,ROW(AZ33)-ROW(AZ$15),0),
ROUND(ROUND(OFFSET($P33,0,AZ$13),15-13*ORÇAMENTO!$AF$7)*OFFSET(ORÇAMENTO!$W$15,ROW(AZ33)-ROW(AZ$15),0),15-13*ORÇAMENTO!$AF$11)),0)</f>
        <v>0</v>
      </c>
      <c r="BA33" s="632">
        <f ca="1">IF(AND($D33="Serviço",BA$12&lt;&gt;0,$H33&gt;0,OR(AUTOEVENTO&lt;&gt;"manual",$M33&lt;&gt;1)),
IF(Import.TipoArredondamento&lt;&gt;"TransfereGOV",
ROUND(OFFSET($P33,0,BA$13),15-13*ORÇAMENTO!$AF$7)/$H33*OFFSET(ORÇAMENTO!$X$15,ROW(BA33)-ROW(BA$15),0),
ROUND(ROUND(OFFSET($P33,0,BA$13),15-13*ORÇAMENTO!$AF$7)*OFFSET(ORÇAMENTO!$W$15,ROW(BA33)-ROW(BA$15),0),15-13*ORÇAMENTO!$AF$11)),0)</f>
        <v>0</v>
      </c>
      <c r="BC33" s="216">
        <f ca="1">IF($D33&lt;&gt;"Serviço",0,IF(AND(AUTOEVENTO="Manual",$M33=1),0,IF(OFFSET(CRONOPLE!$F$14,$M33,BC$13)="",10^12,OFFSET(CRONOPLE!$F$14,$M33,BC$13))))</f>
        <v>0</v>
      </c>
      <c r="BD33" s="216">
        <f ca="1">IF($D33&lt;&gt;"Serviço",0,IF(AND(AUTOEVENTO="Manual",$M33=1),0,IF(OFFSET(CRONOPLE!$F$14,$M33,BD$13)="",10^12,OFFSET(CRONOPLE!$F$14,$M33,BD$13))))</f>
        <v>0</v>
      </c>
      <c r="BE33" s="216">
        <f ca="1">IF($D33&lt;&gt;"Serviço",0,IF(AND(AUTOEVENTO="Manual",$M33=1),0,IF(OFFSET(CRONOPLE!$F$14,$M33,BE$13)="",10^12,OFFSET(CRONOPLE!$F$14,$M33,BE$13))))</f>
        <v>0</v>
      </c>
      <c r="BF33" s="216">
        <f ca="1">IF($D33&lt;&gt;"Serviço",0,IF(AND(AUTOEVENTO="Manual",$M33=1),0,IF(OFFSET(CRONOPLE!$F$14,$M33,BF$13)="",10^12,OFFSET(CRONOPLE!$F$14,$M33,BF$13))))</f>
        <v>0</v>
      </c>
      <c r="BG33" s="216">
        <f ca="1">IF($D33&lt;&gt;"Serviço",0,IF(AND(AUTOEVENTO="Manual",$M33=1),0,IF(OFFSET(CRONOPLE!$F$14,$M33,BG$13)="",10^12,OFFSET(CRONOPLE!$F$14,$M33,BG$13))))</f>
        <v>0</v>
      </c>
      <c r="BH33" s="216">
        <f ca="1">IF($D33&lt;&gt;"Serviço",0,IF(AND(AUTOEVENTO="Manual",$M33=1),0,IF(OFFSET(CRONOPLE!$F$14,$M33,BH$13)="",10^12,OFFSET(CRONOPLE!$F$14,$M33,BH$13))))</f>
        <v>0</v>
      </c>
      <c r="BI33" s="216">
        <f ca="1">IF($D33&lt;&gt;"Serviço",0,IF(AND(AUTOEVENTO="Manual",$M33=1),0,IF(OFFSET(CRONOPLE!$F$14,$M33,BI$13)="",10^12,OFFSET(CRONOPLE!$F$14,$M33,BI$13))))</f>
        <v>0</v>
      </c>
      <c r="BJ33" s="216">
        <f ca="1">IF($D33&lt;&gt;"Serviço",0,IF(AND(AUTOEVENTO="Manual",$M33=1),0,IF(OFFSET(CRONOPLE!$F$14,$M33,BJ$13)="",10^12,OFFSET(CRONOPLE!$F$14,$M33,BJ$13))))</f>
        <v>0</v>
      </c>
      <c r="BK33" s="216">
        <f ca="1">IF($D33&lt;&gt;"Serviço",0,IF(AND(AUTOEVENTO="Manual",$M33=1),0,IF(OFFSET(CRONOPLE!$F$14,$M33,BK$13)="",10^12,OFFSET(CRONOPLE!$F$14,$M33,BK$13))))</f>
        <v>0</v>
      </c>
      <c r="BL33" s="216">
        <f ca="1">IF($D33&lt;&gt;"Serviço",0,IF(AND(AUTOEVENTO="Manual",$M33=1),0,IF(OFFSET(CRONOPLE!$F$14,$M33,BL$13)="",10^12,OFFSET(CRONOPLE!$F$14,$M33,BL$13))))</f>
        <v>0</v>
      </c>
      <c r="BM33" s="216">
        <f ca="1">IF($D33&lt;&gt;"Serviço",0,IF(AND(AUTOEVENTO="Manual",$M33=1),0,IF(OFFSET(CRONOPLE!$F$14,$M33,BM$13)="",10^12,OFFSET(CRONOPLE!$F$14,$M33,BM$13))))</f>
        <v>0</v>
      </c>
      <c r="BN33" s="216">
        <f ca="1">IF($D33&lt;&gt;"Serviço",0,IF(AND(AUTOEVENTO="Manual",$M33=1),0,IF(OFFSET(CRONOPLE!$F$14,$M33,BN$13)="",10^12,OFFSET(CRONOPLE!$F$14,$M33,BN$13))))</f>
        <v>0</v>
      </c>
      <c r="BO33" s="216">
        <f ca="1">IF($D33&lt;&gt;"Serviço",0,IF(AND(AUTOEVENTO="Manual",$M33=1),0,IF(OFFSET(CRONOPLE!$F$14,$M33,BO$13)="",10^12,OFFSET(CRONOPLE!$F$14,$M33,BO$13))))</f>
        <v>0</v>
      </c>
      <c r="BP33" s="216">
        <f ca="1">IF($D33&lt;&gt;"Serviço",0,IF(AND(AUTOEVENTO="Manual",$M33=1),0,IF(OFFSET(CRONOPLE!$F$14,$M33,BP$13)="",10^12,OFFSET(CRONOPLE!$F$14,$M33,BP$13))))</f>
        <v>0</v>
      </c>
      <c r="BQ33" s="216">
        <f ca="1">IF($D33&lt;&gt;"Serviço",0,IF(AND(AUTOEVENTO="Manual",$M33=1),0,IF(OFFSET(CRONOPLE!$F$14,$M33,BQ$13)="",10^12,OFFSET(CRONOPLE!$F$14,$M33,BQ$13))))</f>
        <v>0</v>
      </c>
      <c r="BR33" s="216">
        <f ca="1">IF($D33&lt;&gt;"Serviço",0,IF(AND(AUTOEVENTO="Manual",$M33=1),0,IF(OFFSET(CRONOPLE!$F$14,$M33,BR$13)="",10^12,OFFSET(CRONOPLE!$F$14,$M33,BR$13))))</f>
        <v>0</v>
      </c>
      <c r="BS33" s="216">
        <f ca="1">IF($D33&lt;&gt;"Serviço",0,IF(AND(AUTOEVENTO="Manual",$M33=1),0,IF(OFFSET(CRONOPLE!$F$14,$M33,BS$13)="",10^12,OFFSET(CRONOPLE!$F$14,$M33,BS$13))))</f>
        <v>0</v>
      </c>
      <c r="BT33" s="216">
        <f ca="1">IF($D33&lt;&gt;"Serviço",0,IF(AND(AUTOEVENTO="Manual",$M33=1),0,IF(OFFSET(CRONOPLE!$F$14,$M33,BT$13)="",10^12,OFFSET(CRONOPLE!$F$14,$M33,BT$13))))</f>
        <v>0</v>
      </c>
      <c r="BV33" s="217">
        <f ca="1">IF($D33&lt;&gt;"Serviço",0,IF(OR(AND(AUTOEVENTO="Manual",$M33=1),$M33&gt;(ROW(PLE.lastrow)-ROW(PLE.firstrow))),0,IF(OFFSET(PLE!$G$14,$M33,BV$13)="",10^12,OFFSET(PLE!$G$14,$M33,BV$13))))</f>
        <v>0</v>
      </c>
      <c r="BW33" s="217">
        <f ca="1">IF($D33&lt;&gt;"Serviço",0,IF(OR(AND(AUTOEVENTO="Manual",$M33=1),$M33&gt;(ROW(PLE.lastrow)-ROW(PLE.firstrow))),0,IF(OFFSET(PLE!$G$14,$M33,BW$13)="",10^12,OFFSET(PLE!$G$14,$M33,BW$13))))</f>
        <v>0</v>
      </c>
      <c r="BX33" s="217">
        <f ca="1">IF($D33&lt;&gt;"Serviço",0,IF(OR(AND(AUTOEVENTO="Manual",$M33=1),$M33&gt;(ROW(PLE.lastrow)-ROW(PLE.firstrow))),0,IF(OFFSET(PLE!$G$14,$M33,BX$13)="",10^12,OFFSET(PLE!$G$14,$M33,BX$13))))</f>
        <v>0</v>
      </c>
      <c r="BY33" s="217">
        <f ca="1">IF($D33&lt;&gt;"Serviço",0,IF(OR(AND(AUTOEVENTO="Manual",$M33=1),$M33&gt;(ROW(PLE.lastrow)-ROW(PLE.firstrow))),0,IF(OFFSET(PLE!$G$14,$M33,BY$13)="",10^12,OFFSET(PLE!$G$14,$M33,BY$13))))</f>
        <v>0</v>
      </c>
      <c r="BZ33" s="217">
        <f ca="1">IF($D33&lt;&gt;"Serviço",0,IF(OR(AND(AUTOEVENTO="Manual",$M33=1),$M33&gt;(ROW(PLE.lastrow)-ROW(PLE.firstrow))),0,IF(OFFSET(PLE!$G$14,$M33,BZ$13)="",10^12,OFFSET(PLE!$G$14,$M33,BZ$13))))</f>
        <v>0</v>
      </c>
      <c r="CA33" s="217">
        <f ca="1">IF($D33&lt;&gt;"Serviço",0,IF(OR(AND(AUTOEVENTO="Manual",$M33=1),$M33&gt;(ROW(PLE.lastrow)-ROW(PLE.firstrow))),0,IF(OFFSET(PLE!$G$14,$M33,CA$13)="",10^12,OFFSET(PLE!$G$14,$M33,CA$13))))</f>
        <v>0</v>
      </c>
      <c r="CB33" s="217">
        <f ca="1">IF($D33&lt;&gt;"Serviço",0,IF(OR(AND(AUTOEVENTO="Manual",$M33=1),$M33&gt;(ROW(PLE.lastrow)-ROW(PLE.firstrow))),0,IF(OFFSET(PLE!$G$14,$M33,CB$13)="",10^12,OFFSET(PLE!$G$14,$M33,CB$13))))</f>
        <v>0</v>
      </c>
      <c r="CC33" s="217">
        <f ca="1">IF($D33&lt;&gt;"Serviço",0,IF(OR(AND(AUTOEVENTO="Manual",$M33=1),$M33&gt;(ROW(PLE.lastrow)-ROW(PLE.firstrow))),0,IF(OFFSET(PLE!$G$14,$M33,CC$13)="",10^12,OFFSET(PLE!$G$14,$M33,CC$13))))</f>
        <v>0</v>
      </c>
      <c r="CD33" s="217">
        <f ca="1">IF($D33&lt;&gt;"Serviço",0,IF(OR(AND(AUTOEVENTO="Manual",$M33=1),$M33&gt;(ROW(PLE.lastrow)-ROW(PLE.firstrow))),0,IF(OFFSET(PLE!$G$14,$M33,CD$13)="",10^12,OFFSET(PLE!$G$14,$M33,CD$13))))</f>
        <v>0</v>
      </c>
      <c r="CE33" s="217">
        <f ca="1">IF($D33&lt;&gt;"Serviço",0,IF(OR(AND(AUTOEVENTO="Manual",$M33=1),$M33&gt;(ROW(PLE.lastrow)-ROW(PLE.firstrow))),0,IF(OFFSET(PLE!$G$14,$M33,CE$13)="",10^12,OFFSET(PLE!$G$14,$M33,CE$13))))</f>
        <v>0</v>
      </c>
      <c r="CF33" s="217">
        <f ca="1">IF($D33&lt;&gt;"Serviço",0,IF(OR(AND(AUTOEVENTO="Manual",$M33=1),$M33&gt;(ROW(PLE.lastrow)-ROW(PLE.firstrow))),0,IF(OFFSET(PLE!$G$14,$M33,CF$13)="",10^12,OFFSET(PLE!$G$14,$M33,CF$13))))</f>
        <v>0</v>
      </c>
      <c r="CG33" s="217">
        <f ca="1">IF($D33&lt;&gt;"Serviço",0,IF(OR(AND(AUTOEVENTO="Manual",$M33=1),$M33&gt;(ROW(PLE.lastrow)-ROW(PLE.firstrow))),0,IF(OFFSET(PLE!$G$14,$M33,CG$13)="",10^12,OFFSET(PLE!$G$14,$M33,CG$13))))</f>
        <v>0</v>
      </c>
      <c r="CH33" s="217">
        <f ca="1">IF($D33&lt;&gt;"Serviço",0,IF(OR(AND(AUTOEVENTO="Manual",$M33=1),$M33&gt;(ROW(PLE.lastrow)-ROW(PLE.firstrow))),0,IF(OFFSET(PLE!$G$14,$M33,CH$13)="",10^12,OFFSET(PLE!$G$14,$M33,CH$13))))</f>
        <v>0</v>
      </c>
      <c r="CI33" s="217">
        <f ca="1">IF($D33&lt;&gt;"Serviço",0,IF(OR(AND(AUTOEVENTO="Manual",$M33=1),$M33&gt;(ROW(PLE.lastrow)-ROW(PLE.firstrow))),0,IF(OFFSET(PLE!$G$14,$M33,CI$13)="",10^12,OFFSET(PLE!$G$14,$M33,CI$13))))</f>
        <v>0</v>
      </c>
      <c r="CJ33" s="217">
        <f ca="1">IF($D33&lt;&gt;"Serviço",0,IF(OR(AND(AUTOEVENTO="Manual",$M33=1),$M33&gt;(ROW(PLE.lastrow)-ROW(PLE.firstrow))),0,IF(OFFSET(PLE!$G$14,$M33,CJ$13)="",10^12,OFFSET(PLE!$G$14,$M33,CJ$13))))</f>
        <v>0</v>
      </c>
      <c r="CK33" s="217">
        <f ca="1">IF($D33&lt;&gt;"Serviço",0,IF(OR(AND(AUTOEVENTO="Manual",$M33=1),$M33&gt;(ROW(PLE.lastrow)-ROW(PLE.firstrow))),0,IF(OFFSET(PLE!$G$14,$M33,CK$13)="",10^12,OFFSET(PLE!$G$14,$M33,CK$13))))</f>
        <v>0</v>
      </c>
      <c r="CL33" s="217">
        <f ca="1">IF($D33&lt;&gt;"Serviço",0,IF(OR(AND(AUTOEVENTO="Manual",$M33=1),$M33&gt;(ROW(PLE.lastrow)-ROW(PLE.firstrow))),0,IF(OFFSET(PLE!$G$14,$M33,CL$13)="",10^12,OFFSET(PLE!$G$14,$M33,CL$13))))</f>
        <v>0</v>
      </c>
      <c r="CM33" s="217">
        <f ca="1">IF($D33&lt;&gt;"Serviço",0,IF(OR(AND(AUTOEVENTO="Manual",$M33=1),$M33&gt;(ROW(PLE.lastrow)-ROW(PLE.firstrow))),0,IF(OFFSET(PLE!$G$14,$M33,CM$13)="",10^12,OFFSET(PLE!$G$14,$M33,CM$13))))</f>
        <v>0</v>
      </c>
    </row>
    <row r="34" spans="1:91" ht="25.5" x14ac:dyDescent="0.2">
      <c r="A34" s="9" t="str">
        <f t="shared" ca="1" si="9"/>
        <v>18</v>
      </c>
      <c r="B34" s="9" t="str">
        <f ca="1">OFFSET(ORÇAMENTO!C$15,ROW(B34)-ROW(B$15),0)</f>
        <v>S</v>
      </c>
      <c r="C34" s="9" t="str">
        <f ca="1">OFFSET(ORÇAMENTO!L$15,ROW(C34)-ROW(C$15),0)</f>
        <v/>
      </c>
      <c r="D34" s="146" t="str">
        <f ca="1">OFFSET(ORÇAMENTO!N$15,ROW(D34)-ROW(D$15),0)</f>
        <v>Serviço</v>
      </c>
      <c r="E34" s="206" t="str">
        <f ca="1">OFFSET(ORÇAMENTO!O$15,ROW(E34)-ROW(E$15),0)</f>
        <v>-</v>
      </c>
      <c r="F34" s="207" t="str">
        <f ca="1">OFFSET(ORÇAMENTO!R$15,ROW(F34)-ROW(F$15),0)</f>
        <v>(abra o arquivo 'Referência 12-2023.xlsm)</v>
      </c>
      <c r="G34" s="208" t="str">
        <f ca="1">IF($D34&lt;&gt;"Serviço","",OFFSET(ORÇAMENTO!S$15,ROW(G34)-ROW(G$15),0))</f>
        <v>-</v>
      </c>
      <c r="H34" s="152">
        <f ca="1">IF($D34&lt;&gt;"Serviço",0,IF(ACOMPANHAMENTO="BM",ROUND(OFFSET(ORÇAMENTO!AJ$15,ROW(H34)-ROW(H$15),0),15-13*ORÇAMENTO!$AF$7),SUMPRODUCT(($Q$12:$AI$12&lt;&gt;"")*ROUND($Q34:$AI34,15-13*ORÇAMENTO!$AF$7))))</f>
        <v>27566.989999999994</v>
      </c>
      <c r="I34" s="649" t="s">
        <v>504</v>
      </c>
      <c r="K34" s="209"/>
      <c r="L34" s="210" t="s">
        <v>255</v>
      </c>
      <c r="M34" s="211">
        <f ca="1">IF($D34&lt;&gt;"Serviço","",IF(AUTOEVENTO="manual",$A34,IF(ISERROR(MATCH($A34,$A$15:OFFSET($A34,-1,0),0)),MAX($M$15:OFFSET(M34,-1,0))+1,INDEX($M$15:OFFSET(M34,-1,0),MATCH($A34,$A$15:OFFSET($A34,-1,0),0)))))</f>
        <v>5</v>
      </c>
      <c r="N34" s="212" t="str">
        <f ca="1">IF($D34&lt;&gt;"Serviço","",IF(AUTOEVENTO="Manual",IF($A34=0,"&lt;-- defina o número do agrupador",OFFSET(EVENTOS!$D$14,$A34,0)),OFFSET($F$15,$A34,0)))</f>
        <v>PINTURA DE LIGAÇÃO</v>
      </c>
      <c r="O34" s="213"/>
      <c r="Q34" s="213">
        <f>Q31</f>
        <v>447.66</v>
      </c>
      <c r="R34" s="213">
        <f t="shared" ref="R34:S34" si="12">R31</f>
        <v>2345.1</v>
      </c>
      <c r="S34" s="213">
        <f t="shared" si="12"/>
        <v>1581.42</v>
      </c>
      <c r="T34" s="213">
        <f t="shared" ref="T34:AB34" si="13">T31</f>
        <v>3575.94</v>
      </c>
      <c r="U34" s="213">
        <f t="shared" si="13"/>
        <v>7142.79</v>
      </c>
      <c r="V34" s="213">
        <f t="shared" si="13"/>
        <v>390.96</v>
      </c>
      <c r="W34" s="213">
        <f t="shared" si="13"/>
        <v>405.3</v>
      </c>
      <c r="X34" s="213">
        <f t="shared" si="13"/>
        <v>3553.14</v>
      </c>
      <c r="Y34" s="213">
        <f t="shared" si="13"/>
        <v>1347.42</v>
      </c>
      <c r="Z34" s="213">
        <f t="shared" si="13"/>
        <v>3669.6</v>
      </c>
      <c r="AA34" s="213">
        <f t="shared" si="13"/>
        <v>2821.28</v>
      </c>
      <c r="AB34" s="213">
        <f t="shared" si="13"/>
        <v>286.38</v>
      </c>
      <c r="AC34" s="213"/>
      <c r="AD34" s="213"/>
      <c r="AE34" s="214"/>
      <c r="AF34" s="214"/>
      <c r="AG34" s="214"/>
      <c r="AH34" s="215"/>
      <c r="AJ34" s="630">
        <f ca="1">IF(AND($D34="Serviço",AJ$12&lt;&gt;0,$H34&gt;0,OR(AUTOEVENTO&lt;&gt;"manual",$M34&lt;&gt;1)),
IF(Import.TipoArredondamento&lt;&gt;"TransfereGOV",
ROUND(OFFSET($P34,0,AJ$13),15-13*ORÇAMENTO!$AF$7)/$H34*OFFSET(ORÇAMENTO!$X$15,ROW(AJ34)-ROW(AJ$15),0),
ROUND(ROUND(OFFSET($P34,0,AJ$13),15-13*ORÇAMENTO!$AF$7)*OFFSET(ORÇAMENTO!$W$15,ROW(AJ34)-ROW(AJ$15),0),15-13*ORÇAMENTO!$AF$11)),0)</f>
        <v>0</v>
      </c>
      <c r="AK34" s="631">
        <f ca="1">IF(AND($D34="Serviço",AK$12&lt;&gt;0,$H34&gt;0,OR(AUTOEVENTO&lt;&gt;"manual",$M34&lt;&gt;1)),
IF(Import.TipoArredondamento&lt;&gt;"TransfereGOV",
ROUND(OFFSET($P34,0,AK$13),15-13*ORÇAMENTO!$AF$7)/$H34*OFFSET(ORÇAMENTO!$X$15,ROW(AK34)-ROW(AK$15),0),
ROUND(ROUND(OFFSET($P34,0,AK$13),15-13*ORÇAMENTO!$AF$7)*OFFSET(ORÇAMENTO!$W$15,ROW(AK34)-ROW(AK$15),0),15-13*ORÇAMENTO!$AF$11)),0)</f>
        <v>0</v>
      </c>
      <c r="AL34" s="631">
        <f ca="1">IF(AND($D34="Serviço",AL$12&lt;&gt;0,$H34&gt;0,OR(AUTOEVENTO&lt;&gt;"manual",$M34&lt;&gt;1)),
IF(Import.TipoArredondamento&lt;&gt;"TransfereGOV",
ROUND(OFFSET($P34,0,AL$13),15-13*ORÇAMENTO!$AF$7)/$H34*OFFSET(ORÇAMENTO!$X$15,ROW(AL34)-ROW(AL$15),0),
ROUND(ROUND(OFFSET($P34,0,AL$13),15-13*ORÇAMENTO!$AF$7)*OFFSET(ORÇAMENTO!$W$15,ROW(AL34)-ROW(AL$15),0),15-13*ORÇAMENTO!$AF$11)),0)</f>
        <v>0</v>
      </c>
      <c r="AM34" s="631">
        <f ca="1">IF(AND($D34="Serviço",AM$12&lt;&gt;0,$H34&gt;0,OR(AUTOEVENTO&lt;&gt;"manual",$M34&lt;&gt;1)),
IF(Import.TipoArredondamento&lt;&gt;"TransfereGOV",
ROUND(OFFSET($P34,0,AM$13),15-13*ORÇAMENTO!$AF$7)/$H34*OFFSET(ORÇAMENTO!$X$15,ROW(AM34)-ROW(AM$15),0),
ROUND(ROUND(OFFSET($P34,0,AM$13),15-13*ORÇAMENTO!$AF$7)*OFFSET(ORÇAMENTO!$W$15,ROW(AM34)-ROW(AM$15),0),15-13*ORÇAMENTO!$AF$11)),0)</f>
        <v>0</v>
      </c>
      <c r="AN34" s="631">
        <f ca="1">IF(AND($D34="Serviço",AN$12&lt;&gt;0,$H34&gt;0,OR(AUTOEVENTO&lt;&gt;"manual",$M34&lt;&gt;1)),
IF(Import.TipoArredondamento&lt;&gt;"TransfereGOV",
ROUND(OFFSET($P34,0,AN$13),15-13*ORÇAMENTO!$AF$7)/$H34*OFFSET(ORÇAMENTO!$X$15,ROW(AN34)-ROW(AN$15),0),
ROUND(ROUND(OFFSET($P34,0,AN$13),15-13*ORÇAMENTO!$AF$7)*OFFSET(ORÇAMENTO!$W$15,ROW(AN34)-ROW(AN$15),0),15-13*ORÇAMENTO!$AF$11)),0)</f>
        <v>0</v>
      </c>
      <c r="AO34" s="631">
        <f ca="1">IF(AND($D34="Serviço",AO$12&lt;&gt;0,$H34&gt;0,OR(AUTOEVENTO&lt;&gt;"manual",$M34&lt;&gt;1)),
IF(Import.TipoArredondamento&lt;&gt;"TransfereGOV",
ROUND(OFFSET($P34,0,AO$13),15-13*ORÇAMENTO!$AF$7)/$H34*OFFSET(ORÇAMENTO!$X$15,ROW(AO34)-ROW(AO$15),0),
ROUND(ROUND(OFFSET($P34,0,AO$13),15-13*ORÇAMENTO!$AF$7)*OFFSET(ORÇAMENTO!$W$15,ROW(AO34)-ROW(AO$15),0),15-13*ORÇAMENTO!$AF$11)),0)</f>
        <v>0</v>
      </c>
      <c r="AP34" s="631">
        <f ca="1">IF(AND($D34="Serviço",AP$12&lt;&gt;0,$H34&gt;0,OR(AUTOEVENTO&lt;&gt;"manual",$M34&lt;&gt;1)),
IF(Import.TipoArredondamento&lt;&gt;"TransfereGOV",
ROUND(OFFSET($P34,0,AP$13),15-13*ORÇAMENTO!$AF$7)/$H34*OFFSET(ORÇAMENTO!$X$15,ROW(AP34)-ROW(AP$15),0),
ROUND(ROUND(OFFSET($P34,0,AP$13),15-13*ORÇAMENTO!$AF$7)*OFFSET(ORÇAMENTO!$W$15,ROW(AP34)-ROW(AP$15),0),15-13*ORÇAMENTO!$AF$11)),0)</f>
        <v>0</v>
      </c>
      <c r="AQ34" s="631">
        <f ca="1">IF(AND($D34="Serviço",AQ$12&lt;&gt;0,$H34&gt;0,OR(AUTOEVENTO&lt;&gt;"manual",$M34&lt;&gt;1)),
IF(Import.TipoArredondamento&lt;&gt;"TransfereGOV",
ROUND(OFFSET($P34,0,AQ$13),15-13*ORÇAMENTO!$AF$7)/$H34*OFFSET(ORÇAMENTO!$X$15,ROW(AQ34)-ROW(AQ$15),0),
ROUND(ROUND(OFFSET($P34,0,AQ$13),15-13*ORÇAMENTO!$AF$7)*OFFSET(ORÇAMENTO!$W$15,ROW(AQ34)-ROW(AQ$15),0),15-13*ORÇAMENTO!$AF$11)),0)</f>
        <v>0</v>
      </c>
      <c r="AR34" s="631">
        <f ca="1">IF(AND($D34="Serviço",AR$12&lt;&gt;0,$H34&gt;0,OR(AUTOEVENTO&lt;&gt;"manual",$M34&lt;&gt;1)),
IF(Import.TipoArredondamento&lt;&gt;"TransfereGOV",
ROUND(OFFSET($P34,0,AR$13),15-13*ORÇAMENTO!$AF$7)/$H34*OFFSET(ORÇAMENTO!$X$15,ROW(AR34)-ROW(AR$15),0),
ROUND(ROUND(OFFSET($P34,0,AR$13),15-13*ORÇAMENTO!$AF$7)*OFFSET(ORÇAMENTO!$W$15,ROW(AR34)-ROW(AR$15),0),15-13*ORÇAMENTO!$AF$11)),0)</f>
        <v>0</v>
      </c>
      <c r="AS34" s="632">
        <f ca="1">IF(AND($D34="Serviço",AS$12&lt;&gt;0,$H34&gt;0,OR(AUTOEVENTO&lt;&gt;"manual",$M34&lt;&gt;1)),
IF(Import.TipoArredondamento&lt;&gt;"TransfereGOV",
ROUND(OFFSET($P34,0,AS$13),15-13*ORÇAMENTO!$AF$7)/$H34*OFFSET(ORÇAMENTO!$X$15,ROW(AS34)-ROW(AS$15),0),
ROUND(ROUND(OFFSET($P34,0,AS$13),15-13*ORÇAMENTO!$AF$7)*OFFSET(ORÇAMENTO!$W$15,ROW(AS34)-ROW(AS$15),0),15-13*ORÇAMENTO!$AF$11)),0)</f>
        <v>0</v>
      </c>
      <c r="AT34" s="631">
        <f ca="1">IF(AND($D34="Serviço",AT$12&lt;&gt;0,$H34&gt;0,OR(AUTOEVENTO&lt;&gt;"manual",$M34&lt;&gt;1)),
IF(Import.TipoArredondamento&lt;&gt;"TransfereGOV",
ROUND(OFFSET($P34,0,AT$13),15-13*ORÇAMENTO!$AF$7)/$H34*OFFSET(ORÇAMENTO!$X$15,ROW(AT34)-ROW(AT$15),0),
ROUND(ROUND(OFFSET($P34,0,AT$13),15-13*ORÇAMENTO!$AF$7)*OFFSET(ORÇAMENTO!$W$15,ROW(AT34)-ROW(AT$15),0),15-13*ORÇAMENTO!$AF$11)),0)</f>
        <v>0</v>
      </c>
      <c r="AU34" s="631">
        <f ca="1">IF(AND($D34="Serviço",AU$12&lt;&gt;0,$H34&gt;0,OR(AUTOEVENTO&lt;&gt;"manual",$M34&lt;&gt;1)),
IF(Import.TipoArredondamento&lt;&gt;"TransfereGOV",
ROUND(OFFSET($P34,0,AU$13),15-13*ORÇAMENTO!$AF$7)/$H34*OFFSET(ORÇAMENTO!$X$15,ROW(AU34)-ROW(AU$15),0),
ROUND(ROUND(OFFSET($P34,0,AU$13),15-13*ORÇAMENTO!$AF$7)*OFFSET(ORÇAMENTO!$W$15,ROW(AU34)-ROW(AU$15),0),15-13*ORÇAMENTO!$AF$11)),0)</f>
        <v>0</v>
      </c>
      <c r="AV34" s="631">
        <f ca="1">IF(AND($D34="Serviço",AV$12&lt;&gt;0,$H34&gt;0,OR(AUTOEVENTO&lt;&gt;"manual",$M34&lt;&gt;1)),
IF(Import.TipoArredondamento&lt;&gt;"TransfereGOV",
ROUND(OFFSET($P34,0,AV$13),15-13*ORÇAMENTO!$AF$7)/$H34*OFFSET(ORÇAMENTO!$X$15,ROW(AV34)-ROW(AV$15),0),
ROUND(ROUND(OFFSET($P34,0,AV$13),15-13*ORÇAMENTO!$AF$7)*OFFSET(ORÇAMENTO!$W$15,ROW(AV34)-ROW(AV$15),0),15-13*ORÇAMENTO!$AF$11)),0)</f>
        <v>0</v>
      </c>
      <c r="AW34" s="631">
        <f ca="1">IF(AND($D34="Serviço",AW$12&lt;&gt;0,$H34&gt;0,OR(AUTOEVENTO&lt;&gt;"manual",$M34&lt;&gt;1)),
IF(Import.TipoArredondamento&lt;&gt;"TransfereGOV",
ROUND(OFFSET($P34,0,AW$13),15-13*ORÇAMENTO!$AF$7)/$H34*OFFSET(ORÇAMENTO!$X$15,ROW(AW34)-ROW(AW$15),0),
ROUND(ROUND(OFFSET($P34,0,AW$13),15-13*ORÇAMENTO!$AF$7)*OFFSET(ORÇAMENTO!$W$15,ROW(AW34)-ROW(AW$15),0),15-13*ORÇAMENTO!$AF$11)),0)</f>
        <v>0</v>
      </c>
      <c r="AX34" s="631">
        <f ca="1">IF(AND($D34="Serviço",AX$12&lt;&gt;0,$H34&gt;0,OR(AUTOEVENTO&lt;&gt;"manual",$M34&lt;&gt;1)),
IF(Import.TipoArredondamento&lt;&gt;"TransfereGOV",
ROUND(OFFSET($P34,0,AX$13),15-13*ORÇAMENTO!$AF$7)/$H34*OFFSET(ORÇAMENTO!$X$15,ROW(AX34)-ROW(AX$15),0),
ROUND(ROUND(OFFSET($P34,0,AX$13),15-13*ORÇAMENTO!$AF$7)*OFFSET(ORÇAMENTO!$W$15,ROW(AX34)-ROW(AX$15),0),15-13*ORÇAMENTO!$AF$11)),0)</f>
        <v>0</v>
      </c>
      <c r="AY34" s="631">
        <f ca="1">IF(AND($D34="Serviço",AY$12&lt;&gt;0,$H34&gt;0,OR(AUTOEVENTO&lt;&gt;"manual",$M34&lt;&gt;1)),
IF(Import.TipoArredondamento&lt;&gt;"TransfereGOV",
ROUND(OFFSET($P34,0,AY$13),15-13*ORÇAMENTO!$AF$7)/$H34*OFFSET(ORÇAMENTO!$X$15,ROW(AY34)-ROW(AY$15),0),
ROUND(ROUND(OFFSET($P34,0,AY$13),15-13*ORÇAMENTO!$AF$7)*OFFSET(ORÇAMENTO!$W$15,ROW(AY34)-ROW(AY$15),0),15-13*ORÇAMENTO!$AF$11)),0)</f>
        <v>0</v>
      </c>
      <c r="AZ34" s="631">
        <f ca="1">IF(AND($D34="Serviço",AZ$12&lt;&gt;0,$H34&gt;0,OR(AUTOEVENTO&lt;&gt;"manual",$M34&lt;&gt;1)),
IF(Import.TipoArredondamento&lt;&gt;"TransfereGOV",
ROUND(OFFSET($P34,0,AZ$13),15-13*ORÇAMENTO!$AF$7)/$H34*OFFSET(ORÇAMENTO!$X$15,ROW(AZ34)-ROW(AZ$15),0),
ROUND(ROUND(OFFSET($P34,0,AZ$13),15-13*ORÇAMENTO!$AF$7)*OFFSET(ORÇAMENTO!$W$15,ROW(AZ34)-ROW(AZ$15),0),15-13*ORÇAMENTO!$AF$11)),0)</f>
        <v>0</v>
      </c>
      <c r="BA34" s="632">
        <f ca="1">IF(AND($D34="Serviço",BA$12&lt;&gt;0,$H34&gt;0,OR(AUTOEVENTO&lt;&gt;"manual",$M34&lt;&gt;1)),
IF(Import.TipoArredondamento&lt;&gt;"TransfereGOV",
ROUND(OFFSET($P34,0,BA$13),15-13*ORÇAMENTO!$AF$7)/$H34*OFFSET(ORÇAMENTO!$X$15,ROW(BA34)-ROW(BA$15),0),
ROUND(ROUND(OFFSET($P34,0,BA$13),15-13*ORÇAMENTO!$AF$7)*OFFSET(ORÇAMENTO!$W$15,ROW(BA34)-ROW(BA$15),0),15-13*ORÇAMENTO!$AF$11)),0)</f>
        <v>0</v>
      </c>
      <c r="BC34" s="216">
        <f ca="1">IF($D34&lt;&gt;"Serviço",0,IF(AND(AUTOEVENTO="Manual",$M34=1),0,IF(OFFSET(CRONOPLE!$F$14,$M34,BC$13)="",10^12,OFFSET(CRONOPLE!$F$14,$M34,BC$13))))</f>
        <v>1</v>
      </c>
      <c r="BD34" s="216">
        <f ca="1">IF($D34&lt;&gt;"Serviço",0,IF(AND(AUTOEVENTO="Manual",$M34=1),0,IF(OFFSET(CRONOPLE!$F$14,$M34,BD$13)="",10^12,OFFSET(CRONOPLE!$F$14,$M34,BD$13))))</f>
        <v>1</v>
      </c>
      <c r="BE34" s="216">
        <f ca="1">IF($D34&lt;&gt;"Serviço",0,IF(AND(AUTOEVENTO="Manual",$M34=1),0,IF(OFFSET(CRONOPLE!$F$14,$M34,BE$13)="",10^12,OFFSET(CRONOPLE!$F$14,$M34,BE$13))))</f>
        <v>2</v>
      </c>
      <c r="BF34" s="216">
        <f ca="1">IF($D34&lt;&gt;"Serviço",0,IF(AND(AUTOEVENTO="Manual",$M34=1),0,IF(OFFSET(CRONOPLE!$F$14,$M34,BF$13)="",10^12,OFFSET(CRONOPLE!$F$14,$M34,BF$13))))</f>
        <v>2</v>
      </c>
      <c r="BG34" s="216">
        <f ca="1">IF($D34&lt;&gt;"Serviço",0,IF(AND(AUTOEVENTO="Manual",$M34=1),0,IF(OFFSET(CRONOPLE!$F$14,$M34,BG$13)="",10^12,OFFSET(CRONOPLE!$F$14,$M34,BG$13))))</f>
        <v>3</v>
      </c>
      <c r="BH34" s="216">
        <f ca="1">IF($D34&lt;&gt;"Serviço",0,IF(AND(AUTOEVENTO="Manual",$M34=1),0,IF(OFFSET(CRONOPLE!$F$14,$M34,BH$13)="",10^12,OFFSET(CRONOPLE!$F$14,$M34,BH$13))))</f>
        <v>4</v>
      </c>
      <c r="BI34" s="216">
        <f ca="1">IF($D34&lt;&gt;"Serviço",0,IF(AND(AUTOEVENTO="Manual",$M34=1),0,IF(OFFSET(CRONOPLE!$F$14,$M34,BI$13)="",10^12,OFFSET(CRONOPLE!$F$14,$M34,BI$13))))</f>
        <v>4</v>
      </c>
      <c r="BJ34" s="216">
        <f ca="1">IF($D34&lt;&gt;"Serviço",0,IF(AND(AUTOEVENTO="Manual",$M34=1),0,IF(OFFSET(CRONOPLE!$F$14,$M34,BJ$13)="",10^12,OFFSET(CRONOPLE!$F$14,$M34,BJ$13))))</f>
        <v>4</v>
      </c>
      <c r="BK34" s="216">
        <f ca="1">IF($D34&lt;&gt;"Serviço",0,IF(AND(AUTOEVENTO="Manual",$M34=1),0,IF(OFFSET(CRONOPLE!$F$14,$M34,BK$13)="",10^12,OFFSET(CRONOPLE!$F$14,$M34,BK$13))))</f>
        <v>5</v>
      </c>
      <c r="BL34" s="216">
        <f ca="1">IF($D34&lt;&gt;"Serviço",0,IF(AND(AUTOEVENTO="Manual",$M34=1),0,IF(OFFSET(CRONOPLE!$F$14,$M34,BL$13)="",10^12,OFFSET(CRONOPLE!$F$14,$M34,BL$13))))</f>
        <v>5</v>
      </c>
      <c r="BM34" s="216">
        <f ca="1">IF($D34&lt;&gt;"Serviço",0,IF(AND(AUTOEVENTO="Manual",$M34=1),0,IF(OFFSET(CRONOPLE!$F$14,$M34,BM$13)="",10^12,OFFSET(CRONOPLE!$F$14,$M34,BM$13))))</f>
        <v>6</v>
      </c>
      <c r="BN34" s="216">
        <f ca="1">IF($D34&lt;&gt;"Serviço",0,IF(AND(AUTOEVENTO="Manual",$M34=1),0,IF(OFFSET(CRONOPLE!$F$14,$M34,BN$13)="",10^12,OFFSET(CRONOPLE!$F$14,$M34,BN$13))))</f>
        <v>6</v>
      </c>
      <c r="BO34" s="216">
        <f ca="1">IF($D34&lt;&gt;"Serviço",0,IF(AND(AUTOEVENTO="Manual",$M34=1),0,IF(OFFSET(CRONOPLE!$F$14,$M34,BO$13)="",10^12,OFFSET(CRONOPLE!$F$14,$M34,BO$13))))</f>
        <v>6</v>
      </c>
      <c r="BP34" s="216">
        <f ca="1">IF($D34&lt;&gt;"Serviço",0,IF(AND(AUTOEVENTO="Manual",$M34=1),0,IF(OFFSET(CRONOPLE!$F$14,$M34,BP$13)="",10^12,OFFSET(CRONOPLE!$F$14,$M34,BP$13))))</f>
        <v>1000000000000</v>
      </c>
      <c r="BQ34" s="216">
        <f ca="1">IF($D34&lt;&gt;"Serviço",0,IF(AND(AUTOEVENTO="Manual",$M34=1),0,IF(OFFSET(CRONOPLE!$F$14,$M34,BQ$13)="",10^12,OFFSET(CRONOPLE!$F$14,$M34,BQ$13))))</f>
        <v>1000000000000</v>
      </c>
      <c r="BR34" s="216">
        <f ca="1">IF($D34&lt;&gt;"Serviço",0,IF(AND(AUTOEVENTO="Manual",$M34=1),0,IF(OFFSET(CRONOPLE!$F$14,$M34,BR$13)="",10^12,OFFSET(CRONOPLE!$F$14,$M34,BR$13))))</f>
        <v>1000000000000</v>
      </c>
      <c r="BS34" s="216">
        <f ca="1">IF($D34&lt;&gt;"Serviço",0,IF(AND(AUTOEVENTO="Manual",$M34=1),0,IF(OFFSET(CRONOPLE!$F$14,$M34,BS$13)="",10^12,OFFSET(CRONOPLE!$F$14,$M34,BS$13))))</f>
        <v>1000000000000</v>
      </c>
      <c r="BT34" s="216">
        <f ca="1">IF($D34&lt;&gt;"Serviço",0,IF(AND(AUTOEVENTO="Manual",$M34=1),0,IF(OFFSET(CRONOPLE!$F$14,$M34,BT$13)="",10^12,OFFSET(CRONOPLE!$F$14,$M34,BT$13))))</f>
        <v>1000000000000</v>
      </c>
      <c r="BV34" s="217">
        <f ca="1">IF($D34&lt;&gt;"Serviço",0,IF(OR(AND(AUTOEVENTO="Manual",$M34=1),$M34&gt;(ROW(PLE.lastrow)-ROW(PLE.firstrow))),0,IF(OFFSET(PLE!$G$14,$M34,BV$13)="",10^12,OFFSET(PLE!$G$14,$M34,BV$13))))</f>
        <v>1000000000000</v>
      </c>
      <c r="BW34" s="217">
        <f ca="1">IF($D34&lt;&gt;"Serviço",0,IF(OR(AND(AUTOEVENTO="Manual",$M34=1),$M34&gt;(ROW(PLE.lastrow)-ROW(PLE.firstrow))),0,IF(OFFSET(PLE!$G$14,$M34,BW$13)="",10^12,OFFSET(PLE!$G$14,$M34,BW$13))))</f>
        <v>1000000000000</v>
      </c>
      <c r="BX34" s="217">
        <f ca="1">IF($D34&lt;&gt;"Serviço",0,IF(OR(AND(AUTOEVENTO="Manual",$M34=1),$M34&gt;(ROW(PLE.lastrow)-ROW(PLE.firstrow))),0,IF(OFFSET(PLE!$G$14,$M34,BX$13)="",10^12,OFFSET(PLE!$G$14,$M34,BX$13))))</f>
        <v>1000000000000</v>
      </c>
      <c r="BY34" s="217">
        <f ca="1">IF($D34&lt;&gt;"Serviço",0,IF(OR(AND(AUTOEVENTO="Manual",$M34=1),$M34&gt;(ROW(PLE.lastrow)-ROW(PLE.firstrow))),0,IF(OFFSET(PLE!$G$14,$M34,BY$13)="",10^12,OFFSET(PLE!$G$14,$M34,BY$13))))</f>
        <v>1000000000000</v>
      </c>
      <c r="BZ34" s="217">
        <f ca="1">IF($D34&lt;&gt;"Serviço",0,IF(OR(AND(AUTOEVENTO="Manual",$M34=1),$M34&gt;(ROW(PLE.lastrow)-ROW(PLE.firstrow))),0,IF(OFFSET(PLE!$G$14,$M34,BZ$13)="",10^12,OFFSET(PLE!$G$14,$M34,BZ$13))))</f>
        <v>1000000000000</v>
      </c>
      <c r="CA34" s="217">
        <f ca="1">IF($D34&lt;&gt;"Serviço",0,IF(OR(AND(AUTOEVENTO="Manual",$M34=1),$M34&gt;(ROW(PLE.lastrow)-ROW(PLE.firstrow))),0,IF(OFFSET(PLE!$G$14,$M34,CA$13)="",10^12,OFFSET(PLE!$G$14,$M34,CA$13))))</f>
        <v>1000000000000</v>
      </c>
      <c r="CB34" s="217">
        <f ca="1">IF($D34&lt;&gt;"Serviço",0,IF(OR(AND(AUTOEVENTO="Manual",$M34=1),$M34&gt;(ROW(PLE.lastrow)-ROW(PLE.firstrow))),0,IF(OFFSET(PLE!$G$14,$M34,CB$13)="",10^12,OFFSET(PLE!$G$14,$M34,CB$13))))</f>
        <v>1000000000000</v>
      </c>
      <c r="CC34" s="217">
        <f ca="1">IF($D34&lt;&gt;"Serviço",0,IF(OR(AND(AUTOEVENTO="Manual",$M34=1),$M34&gt;(ROW(PLE.lastrow)-ROW(PLE.firstrow))),0,IF(OFFSET(PLE!$G$14,$M34,CC$13)="",10^12,OFFSET(PLE!$G$14,$M34,CC$13))))</f>
        <v>1000000000000</v>
      </c>
      <c r="CD34" s="217">
        <f ca="1">IF($D34&lt;&gt;"Serviço",0,IF(OR(AND(AUTOEVENTO="Manual",$M34=1),$M34&gt;(ROW(PLE.lastrow)-ROW(PLE.firstrow))),0,IF(OFFSET(PLE!$G$14,$M34,CD$13)="",10^12,OFFSET(PLE!$G$14,$M34,CD$13))))</f>
        <v>1000000000000</v>
      </c>
      <c r="CE34" s="217">
        <f ca="1">IF($D34&lt;&gt;"Serviço",0,IF(OR(AND(AUTOEVENTO="Manual",$M34=1),$M34&gt;(ROW(PLE.lastrow)-ROW(PLE.firstrow))),0,IF(OFFSET(PLE!$G$14,$M34,CE$13)="",10^12,OFFSET(PLE!$G$14,$M34,CE$13))))</f>
        <v>1000000000000</v>
      </c>
      <c r="CF34" s="217">
        <f ca="1">IF($D34&lt;&gt;"Serviço",0,IF(OR(AND(AUTOEVENTO="Manual",$M34=1),$M34&gt;(ROW(PLE.lastrow)-ROW(PLE.firstrow))),0,IF(OFFSET(PLE!$G$14,$M34,CF$13)="",10^12,OFFSET(PLE!$G$14,$M34,CF$13))))</f>
        <v>1000000000000</v>
      </c>
      <c r="CG34" s="217">
        <f ca="1">IF($D34&lt;&gt;"Serviço",0,IF(OR(AND(AUTOEVENTO="Manual",$M34=1),$M34&gt;(ROW(PLE.lastrow)-ROW(PLE.firstrow))),0,IF(OFFSET(PLE!$G$14,$M34,CG$13)="",10^12,OFFSET(PLE!$G$14,$M34,CG$13))))</f>
        <v>1000000000000</v>
      </c>
      <c r="CH34" s="217">
        <f ca="1">IF($D34&lt;&gt;"Serviço",0,IF(OR(AND(AUTOEVENTO="Manual",$M34=1),$M34&gt;(ROW(PLE.lastrow)-ROW(PLE.firstrow))),0,IF(OFFSET(PLE!$G$14,$M34,CH$13)="",10^12,OFFSET(PLE!$G$14,$M34,CH$13))))</f>
        <v>1000000000000</v>
      </c>
      <c r="CI34" s="217">
        <f ca="1">IF($D34&lt;&gt;"Serviço",0,IF(OR(AND(AUTOEVENTO="Manual",$M34=1),$M34&gt;(ROW(PLE.lastrow)-ROW(PLE.firstrow))),0,IF(OFFSET(PLE!$G$14,$M34,CI$13)="",10^12,OFFSET(PLE!$G$14,$M34,CI$13))))</f>
        <v>1000000000000</v>
      </c>
      <c r="CJ34" s="217">
        <f ca="1">IF($D34&lt;&gt;"Serviço",0,IF(OR(AND(AUTOEVENTO="Manual",$M34=1),$M34&gt;(ROW(PLE.lastrow)-ROW(PLE.firstrow))),0,IF(OFFSET(PLE!$G$14,$M34,CJ$13)="",10^12,OFFSET(PLE!$G$14,$M34,CJ$13))))</f>
        <v>1000000000000</v>
      </c>
      <c r="CK34" s="217">
        <f ca="1">IF($D34&lt;&gt;"Serviço",0,IF(OR(AND(AUTOEVENTO="Manual",$M34=1),$M34&gt;(ROW(PLE.lastrow)-ROW(PLE.firstrow))),0,IF(OFFSET(PLE!$G$14,$M34,CK$13)="",10^12,OFFSET(PLE!$G$14,$M34,CK$13))))</f>
        <v>1000000000000</v>
      </c>
      <c r="CL34" s="217">
        <f ca="1">IF($D34&lt;&gt;"Serviço",0,IF(OR(AND(AUTOEVENTO="Manual",$M34=1),$M34&gt;(ROW(PLE.lastrow)-ROW(PLE.firstrow))),0,IF(OFFSET(PLE!$G$14,$M34,CL$13)="",10^12,OFFSET(PLE!$G$14,$M34,CL$13))))</f>
        <v>1000000000000</v>
      </c>
      <c r="CM34" s="217">
        <f ca="1">IF($D34&lt;&gt;"Serviço",0,IF(OR(AND(AUTOEVENTO="Manual",$M34=1),$M34&gt;(ROW(PLE.lastrow)-ROW(PLE.firstrow))),0,IF(OFFSET(PLE!$G$14,$M34,CM$13)="",10^12,OFFSET(PLE!$G$14,$M34,CM$13))))</f>
        <v>1000000000000</v>
      </c>
    </row>
    <row r="35" spans="1:91" ht="25.5" x14ac:dyDescent="0.2">
      <c r="A35" s="9" t="str">
        <f t="shared" ca="1" si="9"/>
        <v>18</v>
      </c>
      <c r="B35" s="9" t="str">
        <f ca="1">OFFSET(ORÇAMENTO!C$15,ROW(B35)-ROW(B$15),0)</f>
        <v>S</v>
      </c>
      <c r="C35" s="9" t="str">
        <f ca="1">OFFSET(ORÇAMENTO!L$15,ROW(C35)-ROW(C$15),0)</f>
        <v/>
      </c>
      <c r="D35" s="146" t="str">
        <f ca="1">OFFSET(ORÇAMENTO!N$15,ROW(D35)-ROW(D$15),0)</f>
        <v>Serviço</v>
      </c>
      <c r="E35" s="206" t="str">
        <f ca="1">OFFSET(ORÇAMENTO!O$15,ROW(E35)-ROW(E$15),0)</f>
        <v>-</v>
      </c>
      <c r="F35" s="207" t="str">
        <f ca="1">OFFSET(ORÇAMENTO!R$15,ROW(F35)-ROW(F$15),0)</f>
        <v>(abra o arquivo 'Referência 12-2023.xlsm)</v>
      </c>
      <c r="G35" s="208" t="str">
        <f ca="1">IF($D35&lt;&gt;"Serviço","",OFFSET(ORÇAMENTO!S$15,ROW(G35)-ROW(G$15),0))</f>
        <v>-</v>
      </c>
      <c r="H35" s="152">
        <f ca="1">IF($D35&lt;&gt;"Serviço",0,IF(ACOMPANHAMENTO="BM",ROUND(OFFSET(ORÇAMENTO!AJ$15,ROW(H35)-ROW(H$15),0),15-13*ORÇAMENTO!$AF$7),SUMPRODUCT(($Q$12:$AI$12&lt;&gt;"")*ROUND($Q35:$AI35,15-13*ORÇAMENTO!$AF$7))))</f>
        <v>7897.9500000000007</v>
      </c>
      <c r="I35" s="649" t="s">
        <v>504</v>
      </c>
      <c r="K35" s="209"/>
      <c r="L35" s="210" t="s">
        <v>255</v>
      </c>
      <c r="M35" s="211">
        <f ca="1">IF($D35&lt;&gt;"Serviço","",IF(AUTOEVENTO="manual",$A35,IF(ISERROR(MATCH($A35,$A$15:OFFSET($A35,-1,0),0)),MAX($M$15:OFFSET(M35,-1,0))+1,INDEX($M$15:OFFSET(M35,-1,0),MATCH($A35,$A$15:OFFSET($A35,-1,0),0)))))</f>
        <v>5</v>
      </c>
      <c r="N35" s="212" t="str">
        <f ca="1">IF($D35&lt;&gt;"Serviço","",IF(AUTOEVENTO="Manual",IF($A35=0,"&lt;-- defina o número do agrupador",OFFSET(EVENTOS!$D$14,$A35,0)),OFFSET($F$15,$A35,0)))</f>
        <v>PINTURA DE LIGAÇÃO</v>
      </c>
      <c r="O35" s="213"/>
      <c r="Q35" s="213">
        <v>128.25</v>
      </c>
      <c r="R35" s="214">
        <v>671.87</v>
      </c>
      <c r="S35" s="214">
        <v>453.08</v>
      </c>
      <c r="T35" s="214">
        <v>1024.51</v>
      </c>
      <c r="U35" s="214">
        <v>2046.41</v>
      </c>
      <c r="V35" s="214">
        <v>112.01</v>
      </c>
      <c r="W35" s="214">
        <v>116.12</v>
      </c>
      <c r="X35" s="214">
        <v>1017.97</v>
      </c>
      <c r="Y35" s="215">
        <v>386.04</v>
      </c>
      <c r="Z35" s="214">
        <v>1051.3399999999999</v>
      </c>
      <c r="AA35" s="214">
        <v>808.3</v>
      </c>
      <c r="AB35" s="214">
        <v>82.05</v>
      </c>
      <c r="AC35" s="214"/>
      <c r="AD35" s="214"/>
      <c r="AE35" s="214"/>
      <c r="AF35" s="214"/>
      <c r="AG35" s="214"/>
      <c r="AH35" s="215"/>
      <c r="AJ35" s="630">
        <f ca="1">IF(AND($D35="Serviço",AJ$12&lt;&gt;0,$H35&gt;0,OR(AUTOEVENTO&lt;&gt;"manual",$M35&lt;&gt;1)),
IF(Import.TipoArredondamento&lt;&gt;"TransfereGOV",
ROUND(OFFSET($P35,0,AJ$13),15-13*ORÇAMENTO!$AF$7)/$H35*OFFSET(ORÇAMENTO!$X$15,ROW(AJ35)-ROW(AJ$15),0),
ROUND(ROUND(OFFSET($P35,0,AJ$13),15-13*ORÇAMENTO!$AF$7)*OFFSET(ORÇAMENTO!$W$15,ROW(AJ35)-ROW(AJ$15),0),15-13*ORÇAMENTO!$AF$11)),0)</f>
        <v>0</v>
      </c>
      <c r="AK35" s="631">
        <f ca="1">IF(AND($D35="Serviço",AK$12&lt;&gt;0,$H35&gt;0,OR(AUTOEVENTO&lt;&gt;"manual",$M35&lt;&gt;1)),
IF(Import.TipoArredondamento&lt;&gt;"TransfereGOV",
ROUND(OFFSET($P35,0,AK$13),15-13*ORÇAMENTO!$AF$7)/$H35*OFFSET(ORÇAMENTO!$X$15,ROW(AK35)-ROW(AK$15),0),
ROUND(ROUND(OFFSET($P35,0,AK$13),15-13*ORÇAMENTO!$AF$7)*OFFSET(ORÇAMENTO!$W$15,ROW(AK35)-ROW(AK$15),0),15-13*ORÇAMENTO!$AF$11)),0)</f>
        <v>0</v>
      </c>
      <c r="AL35" s="631">
        <f ca="1">IF(AND($D35="Serviço",AL$12&lt;&gt;0,$H35&gt;0,OR(AUTOEVENTO&lt;&gt;"manual",$M35&lt;&gt;1)),
IF(Import.TipoArredondamento&lt;&gt;"TransfereGOV",
ROUND(OFFSET($P35,0,AL$13),15-13*ORÇAMENTO!$AF$7)/$H35*OFFSET(ORÇAMENTO!$X$15,ROW(AL35)-ROW(AL$15),0),
ROUND(ROUND(OFFSET($P35,0,AL$13),15-13*ORÇAMENTO!$AF$7)*OFFSET(ORÇAMENTO!$W$15,ROW(AL35)-ROW(AL$15),0),15-13*ORÇAMENTO!$AF$11)),0)</f>
        <v>0</v>
      </c>
      <c r="AM35" s="631">
        <f ca="1">IF(AND($D35="Serviço",AM$12&lt;&gt;0,$H35&gt;0,OR(AUTOEVENTO&lt;&gt;"manual",$M35&lt;&gt;1)),
IF(Import.TipoArredondamento&lt;&gt;"TransfereGOV",
ROUND(OFFSET($P35,0,AM$13),15-13*ORÇAMENTO!$AF$7)/$H35*OFFSET(ORÇAMENTO!$X$15,ROW(AM35)-ROW(AM$15),0),
ROUND(ROUND(OFFSET($P35,0,AM$13),15-13*ORÇAMENTO!$AF$7)*OFFSET(ORÇAMENTO!$W$15,ROW(AM35)-ROW(AM$15),0),15-13*ORÇAMENTO!$AF$11)),0)</f>
        <v>0</v>
      </c>
      <c r="AN35" s="631">
        <f ca="1">IF(AND($D35="Serviço",AN$12&lt;&gt;0,$H35&gt;0,OR(AUTOEVENTO&lt;&gt;"manual",$M35&lt;&gt;1)),
IF(Import.TipoArredondamento&lt;&gt;"TransfereGOV",
ROUND(OFFSET($P35,0,AN$13),15-13*ORÇAMENTO!$AF$7)/$H35*OFFSET(ORÇAMENTO!$X$15,ROW(AN35)-ROW(AN$15),0),
ROUND(ROUND(OFFSET($P35,0,AN$13),15-13*ORÇAMENTO!$AF$7)*OFFSET(ORÇAMENTO!$W$15,ROW(AN35)-ROW(AN$15),0),15-13*ORÇAMENTO!$AF$11)),0)</f>
        <v>0</v>
      </c>
      <c r="AO35" s="631">
        <f ca="1">IF(AND($D35="Serviço",AO$12&lt;&gt;0,$H35&gt;0,OR(AUTOEVENTO&lt;&gt;"manual",$M35&lt;&gt;1)),
IF(Import.TipoArredondamento&lt;&gt;"TransfereGOV",
ROUND(OFFSET($P35,0,AO$13),15-13*ORÇAMENTO!$AF$7)/$H35*OFFSET(ORÇAMENTO!$X$15,ROW(AO35)-ROW(AO$15),0),
ROUND(ROUND(OFFSET($P35,0,AO$13),15-13*ORÇAMENTO!$AF$7)*OFFSET(ORÇAMENTO!$W$15,ROW(AO35)-ROW(AO$15),0),15-13*ORÇAMENTO!$AF$11)),0)</f>
        <v>0</v>
      </c>
      <c r="AP35" s="631">
        <f ca="1">IF(AND($D35="Serviço",AP$12&lt;&gt;0,$H35&gt;0,OR(AUTOEVENTO&lt;&gt;"manual",$M35&lt;&gt;1)),
IF(Import.TipoArredondamento&lt;&gt;"TransfereGOV",
ROUND(OFFSET($P35,0,AP$13),15-13*ORÇAMENTO!$AF$7)/$H35*OFFSET(ORÇAMENTO!$X$15,ROW(AP35)-ROW(AP$15),0),
ROUND(ROUND(OFFSET($P35,0,AP$13),15-13*ORÇAMENTO!$AF$7)*OFFSET(ORÇAMENTO!$W$15,ROW(AP35)-ROW(AP$15),0),15-13*ORÇAMENTO!$AF$11)),0)</f>
        <v>0</v>
      </c>
      <c r="AQ35" s="631">
        <f ca="1">IF(AND($D35="Serviço",AQ$12&lt;&gt;0,$H35&gt;0,OR(AUTOEVENTO&lt;&gt;"manual",$M35&lt;&gt;1)),
IF(Import.TipoArredondamento&lt;&gt;"TransfereGOV",
ROUND(OFFSET($P35,0,AQ$13),15-13*ORÇAMENTO!$AF$7)/$H35*OFFSET(ORÇAMENTO!$X$15,ROW(AQ35)-ROW(AQ$15),0),
ROUND(ROUND(OFFSET($P35,0,AQ$13),15-13*ORÇAMENTO!$AF$7)*OFFSET(ORÇAMENTO!$W$15,ROW(AQ35)-ROW(AQ$15),0),15-13*ORÇAMENTO!$AF$11)),0)</f>
        <v>0</v>
      </c>
      <c r="AR35" s="631">
        <f ca="1">IF(AND($D35="Serviço",AR$12&lt;&gt;0,$H35&gt;0,OR(AUTOEVENTO&lt;&gt;"manual",$M35&lt;&gt;1)),
IF(Import.TipoArredondamento&lt;&gt;"TransfereGOV",
ROUND(OFFSET($P35,0,AR$13),15-13*ORÇAMENTO!$AF$7)/$H35*OFFSET(ORÇAMENTO!$X$15,ROW(AR35)-ROW(AR$15),0),
ROUND(ROUND(OFFSET($P35,0,AR$13),15-13*ORÇAMENTO!$AF$7)*OFFSET(ORÇAMENTO!$W$15,ROW(AR35)-ROW(AR$15),0),15-13*ORÇAMENTO!$AF$11)),0)</f>
        <v>0</v>
      </c>
      <c r="AS35" s="632">
        <f ca="1">IF(AND($D35="Serviço",AS$12&lt;&gt;0,$H35&gt;0,OR(AUTOEVENTO&lt;&gt;"manual",$M35&lt;&gt;1)),
IF(Import.TipoArredondamento&lt;&gt;"TransfereGOV",
ROUND(OFFSET($P35,0,AS$13),15-13*ORÇAMENTO!$AF$7)/$H35*OFFSET(ORÇAMENTO!$X$15,ROW(AS35)-ROW(AS$15),0),
ROUND(ROUND(OFFSET($P35,0,AS$13),15-13*ORÇAMENTO!$AF$7)*OFFSET(ORÇAMENTO!$W$15,ROW(AS35)-ROW(AS$15),0),15-13*ORÇAMENTO!$AF$11)),0)</f>
        <v>0</v>
      </c>
      <c r="AT35" s="631">
        <f ca="1">IF(AND($D35="Serviço",AT$12&lt;&gt;0,$H35&gt;0,OR(AUTOEVENTO&lt;&gt;"manual",$M35&lt;&gt;1)),
IF(Import.TipoArredondamento&lt;&gt;"TransfereGOV",
ROUND(OFFSET($P35,0,AT$13),15-13*ORÇAMENTO!$AF$7)/$H35*OFFSET(ORÇAMENTO!$X$15,ROW(AT35)-ROW(AT$15),0),
ROUND(ROUND(OFFSET($P35,0,AT$13),15-13*ORÇAMENTO!$AF$7)*OFFSET(ORÇAMENTO!$W$15,ROW(AT35)-ROW(AT$15),0),15-13*ORÇAMENTO!$AF$11)),0)</f>
        <v>0</v>
      </c>
      <c r="AU35" s="631">
        <f ca="1">IF(AND($D35="Serviço",AU$12&lt;&gt;0,$H35&gt;0,OR(AUTOEVENTO&lt;&gt;"manual",$M35&lt;&gt;1)),
IF(Import.TipoArredondamento&lt;&gt;"TransfereGOV",
ROUND(OFFSET($P35,0,AU$13),15-13*ORÇAMENTO!$AF$7)/$H35*OFFSET(ORÇAMENTO!$X$15,ROW(AU35)-ROW(AU$15),0),
ROUND(ROUND(OFFSET($P35,0,AU$13),15-13*ORÇAMENTO!$AF$7)*OFFSET(ORÇAMENTO!$W$15,ROW(AU35)-ROW(AU$15),0),15-13*ORÇAMENTO!$AF$11)),0)</f>
        <v>0</v>
      </c>
      <c r="AV35" s="631">
        <f ca="1">IF(AND($D35="Serviço",AV$12&lt;&gt;0,$H35&gt;0,OR(AUTOEVENTO&lt;&gt;"manual",$M35&lt;&gt;1)),
IF(Import.TipoArredondamento&lt;&gt;"TransfereGOV",
ROUND(OFFSET($P35,0,AV$13),15-13*ORÇAMENTO!$AF$7)/$H35*OFFSET(ORÇAMENTO!$X$15,ROW(AV35)-ROW(AV$15),0),
ROUND(ROUND(OFFSET($P35,0,AV$13),15-13*ORÇAMENTO!$AF$7)*OFFSET(ORÇAMENTO!$W$15,ROW(AV35)-ROW(AV$15),0),15-13*ORÇAMENTO!$AF$11)),0)</f>
        <v>0</v>
      </c>
      <c r="AW35" s="631">
        <f ca="1">IF(AND($D35="Serviço",AW$12&lt;&gt;0,$H35&gt;0,OR(AUTOEVENTO&lt;&gt;"manual",$M35&lt;&gt;1)),
IF(Import.TipoArredondamento&lt;&gt;"TransfereGOV",
ROUND(OFFSET($P35,0,AW$13),15-13*ORÇAMENTO!$AF$7)/$H35*OFFSET(ORÇAMENTO!$X$15,ROW(AW35)-ROW(AW$15),0),
ROUND(ROUND(OFFSET($P35,0,AW$13),15-13*ORÇAMENTO!$AF$7)*OFFSET(ORÇAMENTO!$W$15,ROW(AW35)-ROW(AW$15),0),15-13*ORÇAMENTO!$AF$11)),0)</f>
        <v>0</v>
      </c>
      <c r="AX35" s="631">
        <f ca="1">IF(AND($D35="Serviço",AX$12&lt;&gt;0,$H35&gt;0,OR(AUTOEVENTO&lt;&gt;"manual",$M35&lt;&gt;1)),
IF(Import.TipoArredondamento&lt;&gt;"TransfereGOV",
ROUND(OFFSET($P35,0,AX$13),15-13*ORÇAMENTO!$AF$7)/$H35*OFFSET(ORÇAMENTO!$X$15,ROW(AX35)-ROW(AX$15),0),
ROUND(ROUND(OFFSET($P35,0,AX$13),15-13*ORÇAMENTO!$AF$7)*OFFSET(ORÇAMENTO!$W$15,ROW(AX35)-ROW(AX$15),0),15-13*ORÇAMENTO!$AF$11)),0)</f>
        <v>0</v>
      </c>
      <c r="AY35" s="631">
        <f ca="1">IF(AND($D35="Serviço",AY$12&lt;&gt;0,$H35&gt;0,OR(AUTOEVENTO&lt;&gt;"manual",$M35&lt;&gt;1)),
IF(Import.TipoArredondamento&lt;&gt;"TransfereGOV",
ROUND(OFFSET($P35,0,AY$13),15-13*ORÇAMENTO!$AF$7)/$H35*OFFSET(ORÇAMENTO!$X$15,ROW(AY35)-ROW(AY$15),0),
ROUND(ROUND(OFFSET($P35,0,AY$13),15-13*ORÇAMENTO!$AF$7)*OFFSET(ORÇAMENTO!$W$15,ROW(AY35)-ROW(AY$15),0),15-13*ORÇAMENTO!$AF$11)),0)</f>
        <v>0</v>
      </c>
      <c r="AZ35" s="631">
        <f ca="1">IF(AND($D35="Serviço",AZ$12&lt;&gt;0,$H35&gt;0,OR(AUTOEVENTO&lt;&gt;"manual",$M35&lt;&gt;1)),
IF(Import.TipoArredondamento&lt;&gt;"TransfereGOV",
ROUND(OFFSET($P35,0,AZ$13),15-13*ORÇAMENTO!$AF$7)/$H35*OFFSET(ORÇAMENTO!$X$15,ROW(AZ35)-ROW(AZ$15),0),
ROUND(ROUND(OFFSET($P35,0,AZ$13),15-13*ORÇAMENTO!$AF$7)*OFFSET(ORÇAMENTO!$W$15,ROW(AZ35)-ROW(AZ$15),0),15-13*ORÇAMENTO!$AF$11)),0)</f>
        <v>0</v>
      </c>
      <c r="BA35" s="632">
        <f ca="1">IF(AND($D35="Serviço",BA$12&lt;&gt;0,$H35&gt;0,OR(AUTOEVENTO&lt;&gt;"manual",$M35&lt;&gt;1)),
IF(Import.TipoArredondamento&lt;&gt;"TransfereGOV",
ROUND(OFFSET($P35,0,BA$13),15-13*ORÇAMENTO!$AF$7)/$H35*OFFSET(ORÇAMENTO!$X$15,ROW(BA35)-ROW(BA$15),0),
ROUND(ROUND(OFFSET($P35,0,BA$13),15-13*ORÇAMENTO!$AF$7)*OFFSET(ORÇAMENTO!$W$15,ROW(BA35)-ROW(BA$15),0),15-13*ORÇAMENTO!$AF$11)),0)</f>
        <v>0</v>
      </c>
      <c r="BC35" s="216">
        <f ca="1">IF($D35&lt;&gt;"Serviço",0,IF(AND(AUTOEVENTO="Manual",$M35=1),0,IF(OFFSET(CRONOPLE!$F$14,$M35,BC$13)="",10^12,OFFSET(CRONOPLE!$F$14,$M35,BC$13))))</f>
        <v>1</v>
      </c>
      <c r="BD35" s="216">
        <f ca="1">IF($D35&lt;&gt;"Serviço",0,IF(AND(AUTOEVENTO="Manual",$M35=1),0,IF(OFFSET(CRONOPLE!$F$14,$M35,BD$13)="",10^12,OFFSET(CRONOPLE!$F$14,$M35,BD$13))))</f>
        <v>1</v>
      </c>
      <c r="BE35" s="216">
        <f ca="1">IF($D35&lt;&gt;"Serviço",0,IF(AND(AUTOEVENTO="Manual",$M35=1),0,IF(OFFSET(CRONOPLE!$F$14,$M35,BE$13)="",10^12,OFFSET(CRONOPLE!$F$14,$M35,BE$13))))</f>
        <v>2</v>
      </c>
      <c r="BF35" s="216">
        <f ca="1">IF($D35&lt;&gt;"Serviço",0,IF(AND(AUTOEVENTO="Manual",$M35=1),0,IF(OFFSET(CRONOPLE!$F$14,$M35,BF$13)="",10^12,OFFSET(CRONOPLE!$F$14,$M35,BF$13))))</f>
        <v>2</v>
      </c>
      <c r="BG35" s="216">
        <f ca="1">IF($D35&lt;&gt;"Serviço",0,IF(AND(AUTOEVENTO="Manual",$M35=1),0,IF(OFFSET(CRONOPLE!$F$14,$M35,BG$13)="",10^12,OFFSET(CRONOPLE!$F$14,$M35,BG$13))))</f>
        <v>3</v>
      </c>
      <c r="BH35" s="216">
        <f ca="1">IF($D35&lt;&gt;"Serviço",0,IF(AND(AUTOEVENTO="Manual",$M35=1),0,IF(OFFSET(CRONOPLE!$F$14,$M35,BH$13)="",10^12,OFFSET(CRONOPLE!$F$14,$M35,BH$13))))</f>
        <v>4</v>
      </c>
      <c r="BI35" s="216">
        <f ca="1">IF($D35&lt;&gt;"Serviço",0,IF(AND(AUTOEVENTO="Manual",$M35=1),0,IF(OFFSET(CRONOPLE!$F$14,$M35,BI$13)="",10^12,OFFSET(CRONOPLE!$F$14,$M35,BI$13))))</f>
        <v>4</v>
      </c>
      <c r="BJ35" s="216">
        <f ca="1">IF($D35&lt;&gt;"Serviço",0,IF(AND(AUTOEVENTO="Manual",$M35=1),0,IF(OFFSET(CRONOPLE!$F$14,$M35,BJ$13)="",10^12,OFFSET(CRONOPLE!$F$14,$M35,BJ$13))))</f>
        <v>4</v>
      </c>
      <c r="BK35" s="216">
        <f ca="1">IF($D35&lt;&gt;"Serviço",0,IF(AND(AUTOEVENTO="Manual",$M35=1),0,IF(OFFSET(CRONOPLE!$F$14,$M35,BK$13)="",10^12,OFFSET(CRONOPLE!$F$14,$M35,BK$13))))</f>
        <v>5</v>
      </c>
      <c r="BL35" s="216">
        <f ca="1">IF($D35&lt;&gt;"Serviço",0,IF(AND(AUTOEVENTO="Manual",$M35=1),0,IF(OFFSET(CRONOPLE!$F$14,$M35,BL$13)="",10^12,OFFSET(CRONOPLE!$F$14,$M35,BL$13))))</f>
        <v>5</v>
      </c>
      <c r="BM35" s="216">
        <f ca="1">IF($D35&lt;&gt;"Serviço",0,IF(AND(AUTOEVENTO="Manual",$M35=1),0,IF(OFFSET(CRONOPLE!$F$14,$M35,BM$13)="",10^12,OFFSET(CRONOPLE!$F$14,$M35,BM$13))))</f>
        <v>6</v>
      </c>
      <c r="BN35" s="216">
        <f ca="1">IF($D35&lt;&gt;"Serviço",0,IF(AND(AUTOEVENTO="Manual",$M35=1),0,IF(OFFSET(CRONOPLE!$F$14,$M35,BN$13)="",10^12,OFFSET(CRONOPLE!$F$14,$M35,BN$13))))</f>
        <v>6</v>
      </c>
      <c r="BO35" s="216">
        <f ca="1">IF($D35&lt;&gt;"Serviço",0,IF(AND(AUTOEVENTO="Manual",$M35=1),0,IF(OFFSET(CRONOPLE!$F$14,$M35,BO$13)="",10^12,OFFSET(CRONOPLE!$F$14,$M35,BO$13))))</f>
        <v>6</v>
      </c>
      <c r="BP35" s="216">
        <f ca="1">IF($D35&lt;&gt;"Serviço",0,IF(AND(AUTOEVENTO="Manual",$M35=1),0,IF(OFFSET(CRONOPLE!$F$14,$M35,BP$13)="",10^12,OFFSET(CRONOPLE!$F$14,$M35,BP$13))))</f>
        <v>1000000000000</v>
      </c>
      <c r="BQ35" s="216">
        <f ca="1">IF($D35&lt;&gt;"Serviço",0,IF(AND(AUTOEVENTO="Manual",$M35=1),0,IF(OFFSET(CRONOPLE!$F$14,$M35,BQ$13)="",10^12,OFFSET(CRONOPLE!$F$14,$M35,BQ$13))))</f>
        <v>1000000000000</v>
      </c>
      <c r="BR35" s="216">
        <f ca="1">IF($D35&lt;&gt;"Serviço",0,IF(AND(AUTOEVENTO="Manual",$M35=1),0,IF(OFFSET(CRONOPLE!$F$14,$M35,BR$13)="",10^12,OFFSET(CRONOPLE!$F$14,$M35,BR$13))))</f>
        <v>1000000000000</v>
      </c>
      <c r="BS35" s="216">
        <f ca="1">IF($D35&lt;&gt;"Serviço",0,IF(AND(AUTOEVENTO="Manual",$M35=1),0,IF(OFFSET(CRONOPLE!$F$14,$M35,BS$13)="",10^12,OFFSET(CRONOPLE!$F$14,$M35,BS$13))))</f>
        <v>1000000000000</v>
      </c>
      <c r="BT35" s="216">
        <f ca="1">IF($D35&lt;&gt;"Serviço",0,IF(AND(AUTOEVENTO="Manual",$M35=1),0,IF(OFFSET(CRONOPLE!$F$14,$M35,BT$13)="",10^12,OFFSET(CRONOPLE!$F$14,$M35,BT$13))))</f>
        <v>1000000000000</v>
      </c>
      <c r="BV35" s="217">
        <f ca="1">IF($D35&lt;&gt;"Serviço",0,IF(OR(AND(AUTOEVENTO="Manual",$M35=1),$M35&gt;(ROW(PLE.lastrow)-ROW(PLE.firstrow))),0,IF(OFFSET(PLE!$G$14,$M35,BV$13)="",10^12,OFFSET(PLE!$G$14,$M35,BV$13))))</f>
        <v>1000000000000</v>
      </c>
      <c r="BW35" s="217">
        <f ca="1">IF($D35&lt;&gt;"Serviço",0,IF(OR(AND(AUTOEVENTO="Manual",$M35=1),$M35&gt;(ROW(PLE.lastrow)-ROW(PLE.firstrow))),0,IF(OFFSET(PLE!$G$14,$M35,BW$13)="",10^12,OFFSET(PLE!$G$14,$M35,BW$13))))</f>
        <v>1000000000000</v>
      </c>
      <c r="BX35" s="217">
        <f ca="1">IF($D35&lt;&gt;"Serviço",0,IF(OR(AND(AUTOEVENTO="Manual",$M35=1),$M35&gt;(ROW(PLE.lastrow)-ROW(PLE.firstrow))),0,IF(OFFSET(PLE!$G$14,$M35,BX$13)="",10^12,OFFSET(PLE!$G$14,$M35,BX$13))))</f>
        <v>1000000000000</v>
      </c>
      <c r="BY35" s="217">
        <f ca="1">IF($D35&lt;&gt;"Serviço",0,IF(OR(AND(AUTOEVENTO="Manual",$M35=1),$M35&gt;(ROW(PLE.lastrow)-ROW(PLE.firstrow))),0,IF(OFFSET(PLE!$G$14,$M35,BY$13)="",10^12,OFFSET(PLE!$G$14,$M35,BY$13))))</f>
        <v>1000000000000</v>
      </c>
      <c r="BZ35" s="217">
        <f ca="1">IF($D35&lt;&gt;"Serviço",0,IF(OR(AND(AUTOEVENTO="Manual",$M35=1),$M35&gt;(ROW(PLE.lastrow)-ROW(PLE.firstrow))),0,IF(OFFSET(PLE!$G$14,$M35,BZ$13)="",10^12,OFFSET(PLE!$G$14,$M35,BZ$13))))</f>
        <v>1000000000000</v>
      </c>
      <c r="CA35" s="217">
        <f ca="1">IF($D35&lt;&gt;"Serviço",0,IF(OR(AND(AUTOEVENTO="Manual",$M35=1),$M35&gt;(ROW(PLE.lastrow)-ROW(PLE.firstrow))),0,IF(OFFSET(PLE!$G$14,$M35,CA$13)="",10^12,OFFSET(PLE!$G$14,$M35,CA$13))))</f>
        <v>1000000000000</v>
      </c>
      <c r="CB35" s="217">
        <f ca="1">IF($D35&lt;&gt;"Serviço",0,IF(OR(AND(AUTOEVENTO="Manual",$M35=1),$M35&gt;(ROW(PLE.lastrow)-ROW(PLE.firstrow))),0,IF(OFFSET(PLE!$G$14,$M35,CB$13)="",10^12,OFFSET(PLE!$G$14,$M35,CB$13))))</f>
        <v>1000000000000</v>
      </c>
      <c r="CC35" s="217">
        <f ca="1">IF($D35&lt;&gt;"Serviço",0,IF(OR(AND(AUTOEVENTO="Manual",$M35=1),$M35&gt;(ROW(PLE.lastrow)-ROW(PLE.firstrow))),0,IF(OFFSET(PLE!$G$14,$M35,CC$13)="",10^12,OFFSET(PLE!$G$14,$M35,CC$13))))</f>
        <v>1000000000000</v>
      </c>
      <c r="CD35" s="217">
        <f ca="1">IF($D35&lt;&gt;"Serviço",0,IF(OR(AND(AUTOEVENTO="Manual",$M35=1),$M35&gt;(ROW(PLE.lastrow)-ROW(PLE.firstrow))),0,IF(OFFSET(PLE!$G$14,$M35,CD$13)="",10^12,OFFSET(PLE!$G$14,$M35,CD$13))))</f>
        <v>1000000000000</v>
      </c>
      <c r="CE35" s="217">
        <f ca="1">IF($D35&lt;&gt;"Serviço",0,IF(OR(AND(AUTOEVENTO="Manual",$M35=1),$M35&gt;(ROW(PLE.lastrow)-ROW(PLE.firstrow))),0,IF(OFFSET(PLE!$G$14,$M35,CE$13)="",10^12,OFFSET(PLE!$G$14,$M35,CE$13))))</f>
        <v>1000000000000</v>
      </c>
      <c r="CF35" s="217">
        <f ca="1">IF($D35&lt;&gt;"Serviço",0,IF(OR(AND(AUTOEVENTO="Manual",$M35=1),$M35&gt;(ROW(PLE.lastrow)-ROW(PLE.firstrow))),0,IF(OFFSET(PLE!$G$14,$M35,CF$13)="",10^12,OFFSET(PLE!$G$14,$M35,CF$13))))</f>
        <v>1000000000000</v>
      </c>
      <c r="CG35" s="217">
        <f ca="1">IF($D35&lt;&gt;"Serviço",0,IF(OR(AND(AUTOEVENTO="Manual",$M35=1),$M35&gt;(ROW(PLE.lastrow)-ROW(PLE.firstrow))),0,IF(OFFSET(PLE!$G$14,$M35,CG$13)="",10^12,OFFSET(PLE!$G$14,$M35,CG$13))))</f>
        <v>1000000000000</v>
      </c>
      <c r="CH35" s="217">
        <f ca="1">IF($D35&lt;&gt;"Serviço",0,IF(OR(AND(AUTOEVENTO="Manual",$M35=1),$M35&gt;(ROW(PLE.lastrow)-ROW(PLE.firstrow))),0,IF(OFFSET(PLE!$G$14,$M35,CH$13)="",10^12,OFFSET(PLE!$G$14,$M35,CH$13))))</f>
        <v>1000000000000</v>
      </c>
      <c r="CI35" s="217">
        <f ca="1">IF($D35&lt;&gt;"Serviço",0,IF(OR(AND(AUTOEVENTO="Manual",$M35=1),$M35&gt;(ROW(PLE.lastrow)-ROW(PLE.firstrow))),0,IF(OFFSET(PLE!$G$14,$M35,CI$13)="",10^12,OFFSET(PLE!$G$14,$M35,CI$13))))</f>
        <v>1000000000000</v>
      </c>
      <c r="CJ35" s="217">
        <f ca="1">IF($D35&lt;&gt;"Serviço",0,IF(OR(AND(AUTOEVENTO="Manual",$M35=1),$M35&gt;(ROW(PLE.lastrow)-ROW(PLE.firstrow))),0,IF(OFFSET(PLE!$G$14,$M35,CJ$13)="",10^12,OFFSET(PLE!$G$14,$M35,CJ$13))))</f>
        <v>1000000000000</v>
      </c>
      <c r="CK35" s="217">
        <f ca="1">IF($D35&lt;&gt;"Serviço",0,IF(OR(AND(AUTOEVENTO="Manual",$M35=1),$M35&gt;(ROW(PLE.lastrow)-ROW(PLE.firstrow))),0,IF(OFFSET(PLE!$G$14,$M35,CK$13)="",10^12,OFFSET(PLE!$G$14,$M35,CK$13))))</f>
        <v>1000000000000</v>
      </c>
      <c r="CL35" s="217">
        <f ca="1">IF($D35&lt;&gt;"Serviço",0,IF(OR(AND(AUTOEVENTO="Manual",$M35=1),$M35&gt;(ROW(PLE.lastrow)-ROW(PLE.firstrow))),0,IF(OFFSET(PLE!$G$14,$M35,CL$13)="",10^12,OFFSET(PLE!$G$14,$M35,CL$13))))</f>
        <v>1000000000000</v>
      </c>
      <c r="CM35" s="217">
        <f ca="1">IF($D35&lt;&gt;"Serviço",0,IF(OR(AND(AUTOEVENTO="Manual",$M35=1),$M35&gt;(ROW(PLE.lastrow)-ROW(PLE.firstrow))),0,IF(OFFSET(PLE!$G$14,$M35,CM$13)="",10^12,OFFSET(PLE!$G$14,$M35,CM$13))))</f>
        <v>1000000000000</v>
      </c>
    </row>
    <row r="36" spans="1:91" ht="12.75" x14ac:dyDescent="0.2">
      <c r="A36" s="9" t="str">
        <f t="shared" ca="1" si="9"/>
        <v>21.</v>
      </c>
      <c r="B36" s="9">
        <f ca="1">OFFSET(ORÇAMENTO!C$15,ROW(B36)-ROW(B$15),0)</f>
        <v>2</v>
      </c>
      <c r="C36" s="9" t="str">
        <f ca="1">OFFSET(ORÇAMENTO!L$15,ROW(C36)-ROW(C$15),0)</f>
        <v>F</v>
      </c>
      <c r="D36" s="146" t="str">
        <f ca="1">OFFSET(ORÇAMENTO!N$15,ROW(D36)-ROW(D$15),0)</f>
        <v>Nível 2</v>
      </c>
      <c r="E36" s="206" t="str">
        <f ca="1">OFFSET(ORÇAMENTO!O$15,ROW(E36)-ROW(E$15),0)</f>
        <v>1.5.</v>
      </c>
      <c r="F36" s="207" t="str">
        <f ca="1">OFFSET(ORÇAMENTO!R$15,ROW(F36)-ROW(F$15),0)</f>
        <v xml:space="preserve">PAVIMENTAÇÃO </v>
      </c>
      <c r="G36" s="208" t="str">
        <f ca="1">IF($D36&lt;&gt;"Serviço","",OFFSET(ORÇAMENTO!S$15,ROW(G36)-ROW(G$15),0))</f>
        <v/>
      </c>
      <c r="H36" s="152">
        <f ca="1">IF($D36&lt;&gt;"Serviço",0,IF(ACOMPANHAMENTO="BM",ROUND(OFFSET(ORÇAMENTO!AJ$15,ROW(H36)-ROW(H$15),0),15-13*ORÇAMENTO!$AF$7),SUMPRODUCT(($Q$12:$AI$12&lt;&gt;"")*ROUND($Q36:$AI36,15-13*ORÇAMENTO!$AF$7))))</f>
        <v>0</v>
      </c>
      <c r="I36" s="649"/>
      <c r="K36" s="209"/>
      <c r="L36" s="210" t="s">
        <v>255</v>
      </c>
      <c r="M36" s="211" t="str">
        <f ca="1">IF($D36&lt;&gt;"Serviço","",IF(AUTOEVENTO="manual",$A36,IF(ISERROR(MATCH($A36,$A$15:OFFSET($A36,-1,0),0)),MAX($M$15:OFFSET(M36,-1,0))+1,INDEX($M$15:OFFSET(M36,-1,0),MATCH($A36,$A$15:OFFSET($A36,-1,0),0)))))</f>
        <v/>
      </c>
      <c r="N36" s="212" t="str">
        <f ca="1">IF($D36&lt;&gt;"Serviço","",IF(AUTOEVENTO="Manual",IF($A36=0,"&lt;-- defina o número do agrupador",OFFSET(EVENTOS!$D$14,$A36,0)),OFFSET($F$15,$A36,0)))</f>
        <v/>
      </c>
      <c r="O36" s="213"/>
      <c r="Q36" s="213"/>
      <c r="R36" s="214"/>
      <c r="S36" s="214"/>
      <c r="T36" s="214"/>
      <c r="U36" s="214"/>
      <c r="V36" s="214"/>
      <c r="W36" s="214"/>
      <c r="X36" s="214"/>
      <c r="Y36" s="215"/>
      <c r="Z36" s="214"/>
      <c r="AA36" s="214"/>
      <c r="AB36" s="214"/>
      <c r="AC36" s="214"/>
      <c r="AD36" s="214"/>
      <c r="AE36" s="214"/>
      <c r="AF36" s="214"/>
      <c r="AG36" s="214"/>
      <c r="AH36" s="215"/>
      <c r="AJ36" s="630">
        <f ca="1">IF(AND($D36="Serviço",AJ$12&lt;&gt;0,$H36&gt;0,OR(AUTOEVENTO&lt;&gt;"manual",$M36&lt;&gt;1)),
IF(Import.TipoArredondamento&lt;&gt;"TransfereGOV",
ROUND(OFFSET($P36,0,AJ$13),15-13*ORÇAMENTO!$AF$7)/$H36*OFFSET(ORÇAMENTO!$X$15,ROW(AJ36)-ROW(AJ$15),0),
ROUND(ROUND(OFFSET($P36,0,AJ$13),15-13*ORÇAMENTO!$AF$7)*OFFSET(ORÇAMENTO!$W$15,ROW(AJ36)-ROW(AJ$15),0),15-13*ORÇAMENTO!$AF$11)),0)</f>
        <v>0</v>
      </c>
      <c r="AK36" s="631">
        <f ca="1">IF(AND($D36="Serviço",AK$12&lt;&gt;0,$H36&gt;0,OR(AUTOEVENTO&lt;&gt;"manual",$M36&lt;&gt;1)),
IF(Import.TipoArredondamento&lt;&gt;"TransfereGOV",
ROUND(OFFSET($P36,0,AK$13),15-13*ORÇAMENTO!$AF$7)/$H36*OFFSET(ORÇAMENTO!$X$15,ROW(AK36)-ROW(AK$15),0),
ROUND(ROUND(OFFSET($P36,0,AK$13),15-13*ORÇAMENTO!$AF$7)*OFFSET(ORÇAMENTO!$W$15,ROW(AK36)-ROW(AK$15),0),15-13*ORÇAMENTO!$AF$11)),0)</f>
        <v>0</v>
      </c>
      <c r="AL36" s="631">
        <f ca="1">IF(AND($D36="Serviço",AL$12&lt;&gt;0,$H36&gt;0,OR(AUTOEVENTO&lt;&gt;"manual",$M36&lt;&gt;1)),
IF(Import.TipoArredondamento&lt;&gt;"TransfereGOV",
ROUND(OFFSET($P36,0,AL$13),15-13*ORÇAMENTO!$AF$7)/$H36*OFFSET(ORÇAMENTO!$X$15,ROW(AL36)-ROW(AL$15),0),
ROUND(ROUND(OFFSET($P36,0,AL$13),15-13*ORÇAMENTO!$AF$7)*OFFSET(ORÇAMENTO!$W$15,ROW(AL36)-ROW(AL$15),0),15-13*ORÇAMENTO!$AF$11)),0)</f>
        <v>0</v>
      </c>
      <c r="AM36" s="631">
        <f ca="1">IF(AND($D36="Serviço",AM$12&lt;&gt;0,$H36&gt;0,OR(AUTOEVENTO&lt;&gt;"manual",$M36&lt;&gt;1)),
IF(Import.TipoArredondamento&lt;&gt;"TransfereGOV",
ROUND(OFFSET($P36,0,AM$13),15-13*ORÇAMENTO!$AF$7)/$H36*OFFSET(ORÇAMENTO!$X$15,ROW(AM36)-ROW(AM$15),0),
ROUND(ROUND(OFFSET($P36,0,AM$13),15-13*ORÇAMENTO!$AF$7)*OFFSET(ORÇAMENTO!$W$15,ROW(AM36)-ROW(AM$15),0),15-13*ORÇAMENTO!$AF$11)),0)</f>
        <v>0</v>
      </c>
      <c r="AN36" s="631">
        <f ca="1">IF(AND($D36="Serviço",AN$12&lt;&gt;0,$H36&gt;0,OR(AUTOEVENTO&lt;&gt;"manual",$M36&lt;&gt;1)),
IF(Import.TipoArredondamento&lt;&gt;"TransfereGOV",
ROUND(OFFSET($P36,0,AN$13),15-13*ORÇAMENTO!$AF$7)/$H36*OFFSET(ORÇAMENTO!$X$15,ROW(AN36)-ROW(AN$15),0),
ROUND(ROUND(OFFSET($P36,0,AN$13),15-13*ORÇAMENTO!$AF$7)*OFFSET(ORÇAMENTO!$W$15,ROW(AN36)-ROW(AN$15),0),15-13*ORÇAMENTO!$AF$11)),0)</f>
        <v>0</v>
      </c>
      <c r="AO36" s="631">
        <f ca="1">IF(AND($D36="Serviço",AO$12&lt;&gt;0,$H36&gt;0,OR(AUTOEVENTO&lt;&gt;"manual",$M36&lt;&gt;1)),
IF(Import.TipoArredondamento&lt;&gt;"TransfereGOV",
ROUND(OFFSET($P36,0,AO$13),15-13*ORÇAMENTO!$AF$7)/$H36*OFFSET(ORÇAMENTO!$X$15,ROW(AO36)-ROW(AO$15),0),
ROUND(ROUND(OFFSET($P36,0,AO$13),15-13*ORÇAMENTO!$AF$7)*OFFSET(ORÇAMENTO!$W$15,ROW(AO36)-ROW(AO$15),0),15-13*ORÇAMENTO!$AF$11)),0)</f>
        <v>0</v>
      </c>
      <c r="AP36" s="631">
        <f ca="1">IF(AND($D36="Serviço",AP$12&lt;&gt;0,$H36&gt;0,OR(AUTOEVENTO&lt;&gt;"manual",$M36&lt;&gt;1)),
IF(Import.TipoArredondamento&lt;&gt;"TransfereGOV",
ROUND(OFFSET($P36,0,AP$13),15-13*ORÇAMENTO!$AF$7)/$H36*OFFSET(ORÇAMENTO!$X$15,ROW(AP36)-ROW(AP$15),0),
ROUND(ROUND(OFFSET($P36,0,AP$13),15-13*ORÇAMENTO!$AF$7)*OFFSET(ORÇAMENTO!$W$15,ROW(AP36)-ROW(AP$15),0),15-13*ORÇAMENTO!$AF$11)),0)</f>
        <v>0</v>
      </c>
      <c r="AQ36" s="631">
        <f ca="1">IF(AND($D36="Serviço",AQ$12&lt;&gt;0,$H36&gt;0,OR(AUTOEVENTO&lt;&gt;"manual",$M36&lt;&gt;1)),
IF(Import.TipoArredondamento&lt;&gt;"TransfereGOV",
ROUND(OFFSET($P36,0,AQ$13),15-13*ORÇAMENTO!$AF$7)/$H36*OFFSET(ORÇAMENTO!$X$15,ROW(AQ36)-ROW(AQ$15),0),
ROUND(ROUND(OFFSET($P36,0,AQ$13),15-13*ORÇAMENTO!$AF$7)*OFFSET(ORÇAMENTO!$W$15,ROW(AQ36)-ROW(AQ$15),0),15-13*ORÇAMENTO!$AF$11)),0)</f>
        <v>0</v>
      </c>
      <c r="AR36" s="631">
        <f ca="1">IF(AND($D36="Serviço",AR$12&lt;&gt;0,$H36&gt;0,OR(AUTOEVENTO&lt;&gt;"manual",$M36&lt;&gt;1)),
IF(Import.TipoArredondamento&lt;&gt;"TransfereGOV",
ROUND(OFFSET($P36,0,AR$13),15-13*ORÇAMENTO!$AF$7)/$H36*OFFSET(ORÇAMENTO!$X$15,ROW(AR36)-ROW(AR$15),0),
ROUND(ROUND(OFFSET($P36,0,AR$13),15-13*ORÇAMENTO!$AF$7)*OFFSET(ORÇAMENTO!$W$15,ROW(AR36)-ROW(AR$15),0),15-13*ORÇAMENTO!$AF$11)),0)</f>
        <v>0</v>
      </c>
      <c r="AS36" s="632">
        <f ca="1">IF(AND($D36="Serviço",AS$12&lt;&gt;0,$H36&gt;0,OR(AUTOEVENTO&lt;&gt;"manual",$M36&lt;&gt;1)),
IF(Import.TipoArredondamento&lt;&gt;"TransfereGOV",
ROUND(OFFSET($P36,0,AS$13),15-13*ORÇAMENTO!$AF$7)/$H36*OFFSET(ORÇAMENTO!$X$15,ROW(AS36)-ROW(AS$15),0),
ROUND(ROUND(OFFSET($P36,0,AS$13),15-13*ORÇAMENTO!$AF$7)*OFFSET(ORÇAMENTO!$W$15,ROW(AS36)-ROW(AS$15),0),15-13*ORÇAMENTO!$AF$11)),0)</f>
        <v>0</v>
      </c>
      <c r="AT36" s="631">
        <f ca="1">IF(AND($D36="Serviço",AT$12&lt;&gt;0,$H36&gt;0,OR(AUTOEVENTO&lt;&gt;"manual",$M36&lt;&gt;1)),
IF(Import.TipoArredondamento&lt;&gt;"TransfereGOV",
ROUND(OFFSET($P36,0,AT$13),15-13*ORÇAMENTO!$AF$7)/$H36*OFFSET(ORÇAMENTO!$X$15,ROW(AT36)-ROW(AT$15),0),
ROUND(ROUND(OFFSET($P36,0,AT$13),15-13*ORÇAMENTO!$AF$7)*OFFSET(ORÇAMENTO!$W$15,ROW(AT36)-ROW(AT$15),0),15-13*ORÇAMENTO!$AF$11)),0)</f>
        <v>0</v>
      </c>
      <c r="AU36" s="631">
        <f ca="1">IF(AND($D36="Serviço",AU$12&lt;&gt;0,$H36&gt;0,OR(AUTOEVENTO&lt;&gt;"manual",$M36&lt;&gt;1)),
IF(Import.TipoArredondamento&lt;&gt;"TransfereGOV",
ROUND(OFFSET($P36,0,AU$13),15-13*ORÇAMENTO!$AF$7)/$H36*OFFSET(ORÇAMENTO!$X$15,ROW(AU36)-ROW(AU$15),0),
ROUND(ROUND(OFFSET($P36,0,AU$13),15-13*ORÇAMENTO!$AF$7)*OFFSET(ORÇAMENTO!$W$15,ROW(AU36)-ROW(AU$15),0),15-13*ORÇAMENTO!$AF$11)),0)</f>
        <v>0</v>
      </c>
      <c r="AV36" s="631">
        <f ca="1">IF(AND($D36="Serviço",AV$12&lt;&gt;0,$H36&gt;0,OR(AUTOEVENTO&lt;&gt;"manual",$M36&lt;&gt;1)),
IF(Import.TipoArredondamento&lt;&gt;"TransfereGOV",
ROUND(OFFSET($P36,0,AV$13),15-13*ORÇAMENTO!$AF$7)/$H36*OFFSET(ORÇAMENTO!$X$15,ROW(AV36)-ROW(AV$15),0),
ROUND(ROUND(OFFSET($P36,0,AV$13),15-13*ORÇAMENTO!$AF$7)*OFFSET(ORÇAMENTO!$W$15,ROW(AV36)-ROW(AV$15),0),15-13*ORÇAMENTO!$AF$11)),0)</f>
        <v>0</v>
      </c>
      <c r="AW36" s="631">
        <f ca="1">IF(AND($D36="Serviço",AW$12&lt;&gt;0,$H36&gt;0,OR(AUTOEVENTO&lt;&gt;"manual",$M36&lt;&gt;1)),
IF(Import.TipoArredondamento&lt;&gt;"TransfereGOV",
ROUND(OFFSET($P36,0,AW$13),15-13*ORÇAMENTO!$AF$7)/$H36*OFFSET(ORÇAMENTO!$X$15,ROW(AW36)-ROW(AW$15),0),
ROUND(ROUND(OFFSET($P36,0,AW$13),15-13*ORÇAMENTO!$AF$7)*OFFSET(ORÇAMENTO!$W$15,ROW(AW36)-ROW(AW$15),0),15-13*ORÇAMENTO!$AF$11)),0)</f>
        <v>0</v>
      </c>
      <c r="AX36" s="631">
        <f ca="1">IF(AND($D36="Serviço",AX$12&lt;&gt;0,$H36&gt;0,OR(AUTOEVENTO&lt;&gt;"manual",$M36&lt;&gt;1)),
IF(Import.TipoArredondamento&lt;&gt;"TransfereGOV",
ROUND(OFFSET($P36,0,AX$13),15-13*ORÇAMENTO!$AF$7)/$H36*OFFSET(ORÇAMENTO!$X$15,ROW(AX36)-ROW(AX$15),0),
ROUND(ROUND(OFFSET($P36,0,AX$13),15-13*ORÇAMENTO!$AF$7)*OFFSET(ORÇAMENTO!$W$15,ROW(AX36)-ROW(AX$15),0),15-13*ORÇAMENTO!$AF$11)),0)</f>
        <v>0</v>
      </c>
      <c r="AY36" s="631">
        <f ca="1">IF(AND($D36="Serviço",AY$12&lt;&gt;0,$H36&gt;0,OR(AUTOEVENTO&lt;&gt;"manual",$M36&lt;&gt;1)),
IF(Import.TipoArredondamento&lt;&gt;"TransfereGOV",
ROUND(OFFSET($P36,0,AY$13),15-13*ORÇAMENTO!$AF$7)/$H36*OFFSET(ORÇAMENTO!$X$15,ROW(AY36)-ROW(AY$15),0),
ROUND(ROUND(OFFSET($P36,0,AY$13),15-13*ORÇAMENTO!$AF$7)*OFFSET(ORÇAMENTO!$W$15,ROW(AY36)-ROW(AY$15),0),15-13*ORÇAMENTO!$AF$11)),0)</f>
        <v>0</v>
      </c>
      <c r="AZ36" s="631">
        <f ca="1">IF(AND($D36="Serviço",AZ$12&lt;&gt;0,$H36&gt;0,OR(AUTOEVENTO&lt;&gt;"manual",$M36&lt;&gt;1)),
IF(Import.TipoArredondamento&lt;&gt;"TransfereGOV",
ROUND(OFFSET($P36,0,AZ$13),15-13*ORÇAMENTO!$AF$7)/$H36*OFFSET(ORÇAMENTO!$X$15,ROW(AZ36)-ROW(AZ$15),0),
ROUND(ROUND(OFFSET($P36,0,AZ$13),15-13*ORÇAMENTO!$AF$7)*OFFSET(ORÇAMENTO!$W$15,ROW(AZ36)-ROW(AZ$15),0),15-13*ORÇAMENTO!$AF$11)),0)</f>
        <v>0</v>
      </c>
      <c r="BA36" s="632">
        <f ca="1">IF(AND($D36="Serviço",BA$12&lt;&gt;0,$H36&gt;0,OR(AUTOEVENTO&lt;&gt;"manual",$M36&lt;&gt;1)),
IF(Import.TipoArredondamento&lt;&gt;"TransfereGOV",
ROUND(OFFSET($P36,0,BA$13),15-13*ORÇAMENTO!$AF$7)/$H36*OFFSET(ORÇAMENTO!$X$15,ROW(BA36)-ROW(BA$15),0),
ROUND(ROUND(OFFSET($P36,0,BA$13),15-13*ORÇAMENTO!$AF$7)*OFFSET(ORÇAMENTO!$W$15,ROW(BA36)-ROW(BA$15),0),15-13*ORÇAMENTO!$AF$11)),0)</f>
        <v>0</v>
      </c>
      <c r="BC36" s="216">
        <f ca="1">IF($D36&lt;&gt;"Serviço",0,IF(AND(AUTOEVENTO="Manual",$M36=1),0,IF(OFFSET(CRONOPLE!$F$14,$M36,BC$13)="",10^12,OFFSET(CRONOPLE!$F$14,$M36,BC$13))))</f>
        <v>0</v>
      </c>
      <c r="BD36" s="216">
        <f ca="1">IF($D36&lt;&gt;"Serviço",0,IF(AND(AUTOEVENTO="Manual",$M36=1),0,IF(OFFSET(CRONOPLE!$F$14,$M36,BD$13)="",10^12,OFFSET(CRONOPLE!$F$14,$M36,BD$13))))</f>
        <v>0</v>
      </c>
      <c r="BE36" s="216">
        <f ca="1">IF($D36&lt;&gt;"Serviço",0,IF(AND(AUTOEVENTO="Manual",$M36=1),0,IF(OFFSET(CRONOPLE!$F$14,$M36,BE$13)="",10^12,OFFSET(CRONOPLE!$F$14,$M36,BE$13))))</f>
        <v>0</v>
      </c>
      <c r="BF36" s="216">
        <f ca="1">IF($D36&lt;&gt;"Serviço",0,IF(AND(AUTOEVENTO="Manual",$M36=1),0,IF(OFFSET(CRONOPLE!$F$14,$M36,BF$13)="",10^12,OFFSET(CRONOPLE!$F$14,$M36,BF$13))))</f>
        <v>0</v>
      </c>
      <c r="BG36" s="216">
        <f ca="1">IF($D36&lt;&gt;"Serviço",0,IF(AND(AUTOEVENTO="Manual",$M36=1),0,IF(OFFSET(CRONOPLE!$F$14,$M36,BG$13)="",10^12,OFFSET(CRONOPLE!$F$14,$M36,BG$13))))</f>
        <v>0</v>
      </c>
      <c r="BH36" s="216">
        <f ca="1">IF($D36&lt;&gt;"Serviço",0,IF(AND(AUTOEVENTO="Manual",$M36=1),0,IF(OFFSET(CRONOPLE!$F$14,$M36,BH$13)="",10^12,OFFSET(CRONOPLE!$F$14,$M36,BH$13))))</f>
        <v>0</v>
      </c>
      <c r="BI36" s="216">
        <f ca="1">IF($D36&lt;&gt;"Serviço",0,IF(AND(AUTOEVENTO="Manual",$M36=1),0,IF(OFFSET(CRONOPLE!$F$14,$M36,BI$13)="",10^12,OFFSET(CRONOPLE!$F$14,$M36,BI$13))))</f>
        <v>0</v>
      </c>
      <c r="BJ36" s="216">
        <f ca="1">IF($D36&lt;&gt;"Serviço",0,IF(AND(AUTOEVENTO="Manual",$M36=1),0,IF(OFFSET(CRONOPLE!$F$14,$M36,BJ$13)="",10^12,OFFSET(CRONOPLE!$F$14,$M36,BJ$13))))</f>
        <v>0</v>
      </c>
      <c r="BK36" s="216">
        <f ca="1">IF($D36&lt;&gt;"Serviço",0,IF(AND(AUTOEVENTO="Manual",$M36=1),0,IF(OFFSET(CRONOPLE!$F$14,$M36,BK$13)="",10^12,OFFSET(CRONOPLE!$F$14,$M36,BK$13))))</f>
        <v>0</v>
      </c>
      <c r="BL36" s="216">
        <f ca="1">IF($D36&lt;&gt;"Serviço",0,IF(AND(AUTOEVENTO="Manual",$M36=1),0,IF(OFFSET(CRONOPLE!$F$14,$M36,BL$13)="",10^12,OFFSET(CRONOPLE!$F$14,$M36,BL$13))))</f>
        <v>0</v>
      </c>
      <c r="BM36" s="216">
        <f ca="1">IF($D36&lt;&gt;"Serviço",0,IF(AND(AUTOEVENTO="Manual",$M36=1),0,IF(OFFSET(CRONOPLE!$F$14,$M36,BM$13)="",10^12,OFFSET(CRONOPLE!$F$14,$M36,BM$13))))</f>
        <v>0</v>
      </c>
      <c r="BN36" s="216">
        <f ca="1">IF($D36&lt;&gt;"Serviço",0,IF(AND(AUTOEVENTO="Manual",$M36=1),0,IF(OFFSET(CRONOPLE!$F$14,$M36,BN$13)="",10^12,OFFSET(CRONOPLE!$F$14,$M36,BN$13))))</f>
        <v>0</v>
      </c>
      <c r="BO36" s="216">
        <f ca="1">IF($D36&lt;&gt;"Serviço",0,IF(AND(AUTOEVENTO="Manual",$M36=1),0,IF(OFFSET(CRONOPLE!$F$14,$M36,BO$13)="",10^12,OFFSET(CRONOPLE!$F$14,$M36,BO$13))))</f>
        <v>0</v>
      </c>
      <c r="BP36" s="216">
        <f ca="1">IF($D36&lt;&gt;"Serviço",0,IF(AND(AUTOEVENTO="Manual",$M36=1),0,IF(OFFSET(CRONOPLE!$F$14,$M36,BP$13)="",10^12,OFFSET(CRONOPLE!$F$14,$M36,BP$13))))</f>
        <v>0</v>
      </c>
      <c r="BQ36" s="216">
        <f ca="1">IF($D36&lt;&gt;"Serviço",0,IF(AND(AUTOEVENTO="Manual",$M36=1),0,IF(OFFSET(CRONOPLE!$F$14,$M36,BQ$13)="",10^12,OFFSET(CRONOPLE!$F$14,$M36,BQ$13))))</f>
        <v>0</v>
      </c>
      <c r="BR36" s="216">
        <f ca="1">IF($D36&lt;&gt;"Serviço",0,IF(AND(AUTOEVENTO="Manual",$M36=1),0,IF(OFFSET(CRONOPLE!$F$14,$M36,BR$13)="",10^12,OFFSET(CRONOPLE!$F$14,$M36,BR$13))))</f>
        <v>0</v>
      </c>
      <c r="BS36" s="216">
        <f ca="1">IF($D36&lt;&gt;"Serviço",0,IF(AND(AUTOEVENTO="Manual",$M36=1),0,IF(OFFSET(CRONOPLE!$F$14,$M36,BS$13)="",10^12,OFFSET(CRONOPLE!$F$14,$M36,BS$13))))</f>
        <v>0</v>
      </c>
      <c r="BT36" s="216">
        <f ca="1">IF($D36&lt;&gt;"Serviço",0,IF(AND(AUTOEVENTO="Manual",$M36=1),0,IF(OFFSET(CRONOPLE!$F$14,$M36,BT$13)="",10^12,OFFSET(CRONOPLE!$F$14,$M36,BT$13))))</f>
        <v>0</v>
      </c>
      <c r="BV36" s="217">
        <f ca="1">IF($D36&lt;&gt;"Serviço",0,IF(OR(AND(AUTOEVENTO="Manual",$M36=1),$M36&gt;(ROW(PLE.lastrow)-ROW(PLE.firstrow))),0,IF(OFFSET(PLE!$G$14,$M36,BV$13)="",10^12,OFFSET(PLE!$G$14,$M36,BV$13))))</f>
        <v>0</v>
      </c>
      <c r="BW36" s="217">
        <f ca="1">IF($D36&lt;&gt;"Serviço",0,IF(OR(AND(AUTOEVENTO="Manual",$M36=1),$M36&gt;(ROW(PLE.lastrow)-ROW(PLE.firstrow))),0,IF(OFFSET(PLE!$G$14,$M36,BW$13)="",10^12,OFFSET(PLE!$G$14,$M36,BW$13))))</f>
        <v>0</v>
      </c>
      <c r="BX36" s="217">
        <f ca="1">IF($D36&lt;&gt;"Serviço",0,IF(OR(AND(AUTOEVENTO="Manual",$M36=1),$M36&gt;(ROW(PLE.lastrow)-ROW(PLE.firstrow))),0,IF(OFFSET(PLE!$G$14,$M36,BX$13)="",10^12,OFFSET(PLE!$G$14,$M36,BX$13))))</f>
        <v>0</v>
      </c>
      <c r="BY36" s="217">
        <f ca="1">IF($D36&lt;&gt;"Serviço",0,IF(OR(AND(AUTOEVENTO="Manual",$M36=1),$M36&gt;(ROW(PLE.lastrow)-ROW(PLE.firstrow))),0,IF(OFFSET(PLE!$G$14,$M36,BY$13)="",10^12,OFFSET(PLE!$G$14,$M36,BY$13))))</f>
        <v>0</v>
      </c>
      <c r="BZ36" s="217">
        <f ca="1">IF($D36&lt;&gt;"Serviço",0,IF(OR(AND(AUTOEVENTO="Manual",$M36=1),$M36&gt;(ROW(PLE.lastrow)-ROW(PLE.firstrow))),0,IF(OFFSET(PLE!$G$14,$M36,BZ$13)="",10^12,OFFSET(PLE!$G$14,$M36,BZ$13))))</f>
        <v>0</v>
      </c>
      <c r="CA36" s="217">
        <f ca="1">IF($D36&lt;&gt;"Serviço",0,IF(OR(AND(AUTOEVENTO="Manual",$M36=1),$M36&gt;(ROW(PLE.lastrow)-ROW(PLE.firstrow))),0,IF(OFFSET(PLE!$G$14,$M36,CA$13)="",10^12,OFFSET(PLE!$G$14,$M36,CA$13))))</f>
        <v>0</v>
      </c>
      <c r="CB36" s="217">
        <f ca="1">IF($D36&lt;&gt;"Serviço",0,IF(OR(AND(AUTOEVENTO="Manual",$M36=1),$M36&gt;(ROW(PLE.lastrow)-ROW(PLE.firstrow))),0,IF(OFFSET(PLE!$G$14,$M36,CB$13)="",10^12,OFFSET(PLE!$G$14,$M36,CB$13))))</f>
        <v>0</v>
      </c>
      <c r="CC36" s="217">
        <f ca="1">IF($D36&lt;&gt;"Serviço",0,IF(OR(AND(AUTOEVENTO="Manual",$M36=1),$M36&gt;(ROW(PLE.lastrow)-ROW(PLE.firstrow))),0,IF(OFFSET(PLE!$G$14,$M36,CC$13)="",10^12,OFFSET(PLE!$G$14,$M36,CC$13))))</f>
        <v>0</v>
      </c>
      <c r="CD36" s="217">
        <f ca="1">IF($D36&lt;&gt;"Serviço",0,IF(OR(AND(AUTOEVENTO="Manual",$M36=1),$M36&gt;(ROW(PLE.lastrow)-ROW(PLE.firstrow))),0,IF(OFFSET(PLE!$G$14,$M36,CD$13)="",10^12,OFFSET(PLE!$G$14,$M36,CD$13))))</f>
        <v>0</v>
      </c>
      <c r="CE36" s="217">
        <f ca="1">IF($D36&lt;&gt;"Serviço",0,IF(OR(AND(AUTOEVENTO="Manual",$M36=1),$M36&gt;(ROW(PLE.lastrow)-ROW(PLE.firstrow))),0,IF(OFFSET(PLE!$G$14,$M36,CE$13)="",10^12,OFFSET(PLE!$G$14,$M36,CE$13))))</f>
        <v>0</v>
      </c>
      <c r="CF36" s="217">
        <f ca="1">IF($D36&lt;&gt;"Serviço",0,IF(OR(AND(AUTOEVENTO="Manual",$M36=1),$M36&gt;(ROW(PLE.lastrow)-ROW(PLE.firstrow))),0,IF(OFFSET(PLE!$G$14,$M36,CF$13)="",10^12,OFFSET(PLE!$G$14,$M36,CF$13))))</f>
        <v>0</v>
      </c>
      <c r="CG36" s="217">
        <f ca="1">IF($D36&lt;&gt;"Serviço",0,IF(OR(AND(AUTOEVENTO="Manual",$M36=1),$M36&gt;(ROW(PLE.lastrow)-ROW(PLE.firstrow))),0,IF(OFFSET(PLE!$G$14,$M36,CG$13)="",10^12,OFFSET(PLE!$G$14,$M36,CG$13))))</f>
        <v>0</v>
      </c>
      <c r="CH36" s="217">
        <f ca="1">IF($D36&lt;&gt;"Serviço",0,IF(OR(AND(AUTOEVENTO="Manual",$M36=1),$M36&gt;(ROW(PLE.lastrow)-ROW(PLE.firstrow))),0,IF(OFFSET(PLE!$G$14,$M36,CH$13)="",10^12,OFFSET(PLE!$G$14,$M36,CH$13))))</f>
        <v>0</v>
      </c>
      <c r="CI36" s="217">
        <f ca="1">IF($D36&lt;&gt;"Serviço",0,IF(OR(AND(AUTOEVENTO="Manual",$M36=1),$M36&gt;(ROW(PLE.lastrow)-ROW(PLE.firstrow))),0,IF(OFFSET(PLE!$G$14,$M36,CI$13)="",10^12,OFFSET(PLE!$G$14,$M36,CI$13))))</f>
        <v>0</v>
      </c>
      <c r="CJ36" s="217">
        <f ca="1">IF($D36&lt;&gt;"Serviço",0,IF(OR(AND(AUTOEVENTO="Manual",$M36=1),$M36&gt;(ROW(PLE.lastrow)-ROW(PLE.firstrow))),0,IF(OFFSET(PLE!$G$14,$M36,CJ$13)="",10^12,OFFSET(PLE!$G$14,$M36,CJ$13))))</f>
        <v>0</v>
      </c>
      <c r="CK36" s="217">
        <f ca="1">IF($D36&lt;&gt;"Serviço",0,IF(OR(AND(AUTOEVENTO="Manual",$M36=1),$M36&gt;(ROW(PLE.lastrow)-ROW(PLE.firstrow))),0,IF(OFFSET(PLE!$G$14,$M36,CK$13)="",10^12,OFFSET(PLE!$G$14,$M36,CK$13))))</f>
        <v>0</v>
      </c>
      <c r="CL36" s="217">
        <f ca="1">IF($D36&lt;&gt;"Serviço",0,IF(OR(AND(AUTOEVENTO="Manual",$M36=1),$M36&gt;(ROW(PLE.lastrow)-ROW(PLE.firstrow))),0,IF(OFFSET(PLE!$G$14,$M36,CL$13)="",10^12,OFFSET(PLE!$G$14,$M36,CL$13))))</f>
        <v>0</v>
      </c>
      <c r="CM36" s="217">
        <f ca="1">IF($D36&lt;&gt;"Serviço",0,IF(OR(AND(AUTOEVENTO="Manual",$M36=1),$M36&gt;(ROW(PLE.lastrow)-ROW(PLE.firstrow))),0,IF(OFFSET(PLE!$G$14,$M36,CM$13)="",10^12,OFFSET(PLE!$G$14,$M36,CM$13))))</f>
        <v>0</v>
      </c>
    </row>
    <row r="37" spans="1:91" ht="25.5" x14ac:dyDescent="0.2">
      <c r="A37" s="9" t="str">
        <f t="shared" ca="1" si="9"/>
        <v>21</v>
      </c>
      <c r="B37" s="9" t="str">
        <f ca="1">OFFSET(ORÇAMENTO!C$15,ROW(B37)-ROW(B$15),0)</f>
        <v>S</v>
      </c>
      <c r="C37" s="9" t="str">
        <f ca="1">OFFSET(ORÇAMENTO!L$15,ROW(C37)-ROW(C$15),0)</f>
        <v/>
      </c>
      <c r="D37" s="146" t="str">
        <f ca="1">OFFSET(ORÇAMENTO!N$15,ROW(D37)-ROW(D$15),0)</f>
        <v>Serviço</v>
      </c>
      <c r="E37" s="206" t="str">
        <f ca="1">OFFSET(ORÇAMENTO!O$15,ROW(E37)-ROW(E$15),0)</f>
        <v>-</v>
      </c>
      <c r="F37" s="207" t="str">
        <f ca="1">OFFSET(ORÇAMENTO!R$15,ROW(F37)-ROW(F$15),0)</f>
        <v>(abra o arquivo 'Referência 12-2023.xlsm)</v>
      </c>
      <c r="G37" s="208" t="str">
        <f ca="1">IF($D37&lt;&gt;"Serviço","",OFFSET(ORÇAMENTO!S$15,ROW(G37)-ROW(G$15),0))</f>
        <v>-</v>
      </c>
      <c r="H37" s="152">
        <f ca="1">IF($D37&lt;&gt;"Serviço",0,IF(ACOMPANHAMENTO="BM",ROUND(OFFSET(ORÇAMENTO!AJ$15,ROW(H37)-ROW(H$15),0),15-13*ORÇAMENTO!$AF$7),SUMPRODUCT(($Q$12:$AI$12&lt;&gt;"")*ROUND($Q37:$AI37,15-13*ORÇAMENTO!$AF$7))))</f>
        <v>827</v>
      </c>
      <c r="I37" s="649" t="s">
        <v>504</v>
      </c>
      <c r="K37" s="209"/>
      <c r="L37" s="210" t="s">
        <v>255</v>
      </c>
      <c r="M37" s="211">
        <f ca="1">IF($D37&lt;&gt;"Serviço","",IF(AUTOEVENTO="manual",$A37,IF(ISERROR(MATCH($A37,$A$15:OFFSET($A37,-1,0),0)),MAX($M$15:OFFSET(M37,-1,0))+1,INDEX($M$15:OFFSET(M37,-1,0),MATCH($A37,$A$15:OFFSET($A37,-1,0),0)))))</f>
        <v>6</v>
      </c>
      <c r="N37" s="212" t="str">
        <f ca="1">IF($D37&lt;&gt;"Serviço","",IF(AUTOEVENTO="Manual",IF($A37=0,"&lt;-- defina o número do agrupador",OFFSET(EVENTOS!$D$14,$A37,0)),OFFSET($F$15,$A37,0)))</f>
        <v xml:space="preserve">PAVIMENTAÇÃO </v>
      </c>
      <c r="O37" s="213"/>
      <c r="Q37" s="213">
        <v>13.43</v>
      </c>
      <c r="R37" s="214">
        <v>70.349999999999994</v>
      </c>
      <c r="S37" s="214">
        <v>47.44</v>
      </c>
      <c r="T37" s="214">
        <v>107.28</v>
      </c>
      <c r="U37" s="214">
        <v>214.28</v>
      </c>
      <c r="V37" s="214">
        <v>11.73</v>
      </c>
      <c r="W37" s="214">
        <v>12.16</v>
      </c>
      <c r="X37" s="214">
        <v>106.59</v>
      </c>
      <c r="Y37" s="215">
        <v>40.42</v>
      </c>
      <c r="Z37" s="214">
        <v>110.09</v>
      </c>
      <c r="AA37" s="214">
        <v>84.64</v>
      </c>
      <c r="AB37" s="214">
        <v>8.59</v>
      </c>
      <c r="AC37" s="214"/>
      <c r="AD37" s="214"/>
      <c r="AE37" s="214"/>
      <c r="AF37" s="214"/>
      <c r="AG37" s="214"/>
      <c r="AH37" s="215"/>
      <c r="AJ37" s="630">
        <f ca="1">IF(AND($D37="Serviço",AJ$12&lt;&gt;0,$H37&gt;0,OR(AUTOEVENTO&lt;&gt;"manual",$M37&lt;&gt;1)),
IF(Import.TipoArredondamento&lt;&gt;"TransfereGOV",
ROUND(OFFSET($P37,0,AJ$13),15-13*ORÇAMENTO!$AF$7)/$H37*OFFSET(ORÇAMENTO!$X$15,ROW(AJ37)-ROW(AJ$15),0),
ROUND(ROUND(OFFSET($P37,0,AJ$13),15-13*ORÇAMENTO!$AF$7)*OFFSET(ORÇAMENTO!$W$15,ROW(AJ37)-ROW(AJ$15),0),15-13*ORÇAMENTO!$AF$11)),0)</f>
        <v>0</v>
      </c>
      <c r="AK37" s="631">
        <f ca="1">IF(AND($D37="Serviço",AK$12&lt;&gt;0,$H37&gt;0,OR(AUTOEVENTO&lt;&gt;"manual",$M37&lt;&gt;1)),
IF(Import.TipoArredondamento&lt;&gt;"TransfereGOV",
ROUND(OFFSET($P37,0,AK$13),15-13*ORÇAMENTO!$AF$7)/$H37*OFFSET(ORÇAMENTO!$X$15,ROW(AK37)-ROW(AK$15),0),
ROUND(ROUND(OFFSET($P37,0,AK$13),15-13*ORÇAMENTO!$AF$7)*OFFSET(ORÇAMENTO!$W$15,ROW(AK37)-ROW(AK$15),0),15-13*ORÇAMENTO!$AF$11)),0)</f>
        <v>0</v>
      </c>
      <c r="AL37" s="631">
        <f ca="1">IF(AND($D37="Serviço",AL$12&lt;&gt;0,$H37&gt;0,OR(AUTOEVENTO&lt;&gt;"manual",$M37&lt;&gt;1)),
IF(Import.TipoArredondamento&lt;&gt;"TransfereGOV",
ROUND(OFFSET($P37,0,AL$13),15-13*ORÇAMENTO!$AF$7)/$H37*OFFSET(ORÇAMENTO!$X$15,ROW(AL37)-ROW(AL$15),0),
ROUND(ROUND(OFFSET($P37,0,AL$13),15-13*ORÇAMENTO!$AF$7)*OFFSET(ORÇAMENTO!$W$15,ROW(AL37)-ROW(AL$15),0),15-13*ORÇAMENTO!$AF$11)),0)</f>
        <v>0</v>
      </c>
      <c r="AM37" s="631">
        <f ca="1">IF(AND($D37="Serviço",AM$12&lt;&gt;0,$H37&gt;0,OR(AUTOEVENTO&lt;&gt;"manual",$M37&lt;&gt;1)),
IF(Import.TipoArredondamento&lt;&gt;"TransfereGOV",
ROUND(OFFSET($P37,0,AM$13),15-13*ORÇAMENTO!$AF$7)/$H37*OFFSET(ORÇAMENTO!$X$15,ROW(AM37)-ROW(AM$15),0),
ROUND(ROUND(OFFSET($P37,0,AM$13),15-13*ORÇAMENTO!$AF$7)*OFFSET(ORÇAMENTO!$W$15,ROW(AM37)-ROW(AM$15),0),15-13*ORÇAMENTO!$AF$11)),0)</f>
        <v>0</v>
      </c>
      <c r="AN37" s="631">
        <f ca="1">IF(AND($D37="Serviço",AN$12&lt;&gt;0,$H37&gt;0,OR(AUTOEVENTO&lt;&gt;"manual",$M37&lt;&gt;1)),
IF(Import.TipoArredondamento&lt;&gt;"TransfereGOV",
ROUND(OFFSET($P37,0,AN$13),15-13*ORÇAMENTO!$AF$7)/$H37*OFFSET(ORÇAMENTO!$X$15,ROW(AN37)-ROW(AN$15),0),
ROUND(ROUND(OFFSET($P37,0,AN$13),15-13*ORÇAMENTO!$AF$7)*OFFSET(ORÇAMENTO!$W$15,ROW(AN37)-ROW(AN$15),0),15-13*ORÇAMENTO!$AF$11)),0)</f>
        <v>0</v>
      </c>
      <c r="AO37" s="631">
        <f ca="1">IF(AND($D37="Serviço",AO$12&lt;&gt;0,$H37&gt;0,OR(AUTOEVENTO&lt;&gt;"manual",$M37&lt;&gt;1)),
IF(Import.TipoArredondamento&lt;&gt;"TransfereGOV",
ROUND(OFFSET($P37,0,AO$13),15-13*ORÇAMENTO!$AF$7)/$H37*OFFSET(ORÇAMENTO!$X$15,ROW(AO37)-ROW(AO$15),0),
ROUND(ROUND(OFFSET($P37,0,AO$13),15-13*ORÇAMENTO!$AF$7)*OFFSET(ORÇAMENTO!$W$15,ROW(AO37)-ROW(AO$15),0),15-13*ORÇAMENTO!$AF$11)),0)</f>
        <v>0</v>
      </c>
      <c r="AP37" s="631">
        <f ca="1">IF(AND($D37="Serviço",AP$12&lt;&gt;0,$H37&gt;0,OR(AUTOEVENTO&lt;&gt;"manual",$M37&lt;&gt;1)),
IF(Import.TipoArredondamento&lt;&gt;"TransfereGOV",
ROUND(OFFSET($P37,0,AP$13),15-13*ORÇAMENTO!$AF$7)/$H37*OFFSET(ORÇAMENTO!$X$15,ROW(AP37)-ROW(AP$15),0),
ROUND(ROUND(OFFSET($P37,0,AP$13),15-13*ORÇAMENTO!$AF$7)*OFFSET(ORÇAMENTO!$W$15,ROW(AP37)-ROW(AP$15),0),15-13*ORÇAMENTO!$AF$11)),0)</f>
        <v>0</v>
      </c>
      <c r="AQ37" s="631">
        <f ca="1">IF(AND($D37="Serviço",AQ$12&lt;&gt;0,$H37&gt;0,OR(AUTOEVENTO&lt;&gt;"manual",$M37&lt;&gt;1)),
IF(Import.TipoArredondamento&lt;&gt;"TransfereGOV",
ROUND(OFFSET($P37,0,AQ$13),15-13*ORÇAMENTO!$AF$7)/$H37*OFFSET(ORÇAMENTO!$X$15,ROW(AQ37)-ROW(AQ$15),0),
ROUND(ROUND(OFFSET($P37,0,AQ$13),15-13*ORÇAMENTO!$AF$7)*OFFSET(ORÇAMENTO!$W$15,ROW(AQ37)-ROW(AQ$15),0),15-13*ORÇAMENTO!$AF$11)),0)</f>
        <v>0</v>
      </c>
      <c r="AR37" s="631">
        <f ca="1">IF(AND($D37="Serviço",AR$12&lt;&gt;0,$H37&gt;0,OR(AUTOEVENTO&lt;&gt;"manual",$M37&lt;&gt;1)),
IF(Import.TipoArredondamento&lt;&gt;"TransfereGOV",
ROUND(OFFSET($P37,0,AR$13),15-13*ORÇAMENTO!$AF$7)/$H37*OFFSET(ORÇAMENTO!$X$15,ROW(AR37)-ROW(AR$15),0),
ROUND(ROUND(OFFSET($P37,0,AR$13),15-13*ORÇAMENTO!$AF$7)*OFFSET(ORÇAMENTO!$W$15,ROW(AR37)-ROW(AR$15),0),15-13*ORÇAMENTO!$AF$11)),0)</f>
        <v>0</v>
      </c>
      <c r="AS37" s="632">
        <f ca="1">IF(AND($D37="Serviço",AS$12&lt;&gt;0,$H37&gt;0,OR(AUTOEVENTO&lt;&gt;"manual",$M37&lt;&gt;1)),
IF(Import.TipoArredondamento&lt;&gt;"TransfereGOV",
ROUND(OFFSET($P37,0,AS$13),15-13*ORÇAMENTO!$AF$7)/$H37*OFFSET(ORÇAMENTO!$X$15,ROW(AS37)-ROW(AS$15),0),
ROUND(ROUND(OFFSET($P37,0,AS$13),15-13*ORÇAMENTO!$AF$7)*OFFSET(ORÇAMENTO!$W$15,ROW(AS37)-ROW(AS$15),0),15-13*ORÇAMENTO!$AF$11)),0)</f>
        <v>0</v>
      </c>
      <c r="AT37" s="631">
        <f ca="1">IF(AND($D37="Serviço",AT$12&lt;&gt;0,$H37&gt;0,OR(AUTOEVENTO&lt;&gt;"manual",$M37&lt;&gt;1)),
IF(Import.TipoArredondamento&lt;&gt;"TransfereGOV",
ROUND(OFFSET($P37,0,AT$13),15-13*ORÇAMENTO!$AF$7)/$H37*OFFSET(ORÇAMENTO!$X$15,ROW(AT37)-ROW(AT$15),0),
ROUND(ROUND(OFFSET($P37,0,AT$13),15-13*ORÇAMENTO!$AF$7)*OFFSET(ORÇAMENTO!$W$15,ROW(AT37)-ROW(AT$15),0),15-13*ORÇAMENTO!$AF$11)),0)</f>
        <v>0</v>
      </c>
      <c r="AU37" s="631">
        <f ca="1">IF(AND($D37="Serviço",AU$12&lt;&gt;0,$H37&gt;0,OR(AUTOEVENTO&lt;&gt;"manual",$M37&lt;&gt;1)),
IF(Import.TipoArredondamento&lt;&gt;"TransfereGOV",
ROUND(OFFSET($P37,0,AU$13),15-13*ORÇAMENTO!$AF$7)/$H37*OFFSET(ORÇAMENTO!$X$15,ROW(AU37)-ROW(AU$15),0),
ROUND(ROUND(OFFSET($P37,0,AU$13),15-13*ORÇAMENTO!$AF$7)*OFFSET(ORÇAMENTO!$W$15,ROW(AU37)-ROW(AU$15),0),15-13*ORÇAMENTO!$AF$11)),0)</f>
        <v>0</v>
      </c>
      <c r="AV37" s="631">
        <f ca="1">IF(AND($D37="Serviço",AV$12&lt;&gt;0,$H37&gt;0,OR(AUTOEVENTO&lt;&gt;"manual",$M37&lt;&gt;1)),
IF(Import.TipoArredondamento&lt;&gt;"TransfereGOV",
ROUND(OFFSET($P37,0,AV$13),15-13*ORÇAMENTO!$AF$7)/$H37*OFFSET(ORÇAMENTO!$X$15,ROW(AV37)-ROW(AV$15),0),
ROUND(ROUND(OFFSET($P37,0,AV$13),15-13*ORÇAMENTO!$AF$7)*OFFSET(ORÇAMENTO!$W$15,ROW(AV37)-ROW(AV$15),0),15-13*ORÇAMENTO!$AF$11)),0)</f>
        <v>0</v>
      </c>
      <c r="AW37" s="631">
        <f ca="1">IF(AND($D37="Serviço",AW$12&lt;&gt;0,$H37&gt;0,OR(AUTOEVENTO&lt;&gt;"manual",$M37&lt;&gt;1)),
IF(Import.TipoArredondamento&lt;&gt;"TransfereGOV",
ROUND(OFFSET($P37,0,AW$13),15-13*ORÇAMENTO!$AF$7)/$H37*OFFSET(ORÇAMENTO!$X$15,ROW(AW37)-ROW(AW$15),0),
ROUND(ROUND(OFFSET($P37,0,AW$13),15-13*ORÇAMENTO!$AF$7)*OFFSET(ORÇAMENTO!$W$15,ROW(AW37)-ROW(AW$15),0),15-13*ORÇAMENTO!$AF$11)),0)</f>
        <v>0</v>
      </c>
      <c r="AX37" s="631">
        <f ca="1">IF(AND($D37="Serviço",AX$12&lt;&gt;0,$H37&gt;0,OR(AUTOEVENTO&lt;&gt;"manual",$M37&lt;&gt;1)),
IF(Import.TipoArredondamento&lt;&gt;"TransfereGOV",
ROUND(OFFSET($P37,0,AX$13),15-13*ORÇAMENTO!$AF$7)/$H37*OFFSET(ORÇAMENTO!$X$15,ROW(AX37)-ROW(AX$15),0),
ROUND(ROUND(OFFSET($P37,0,AX$13),15-13*ORÇAMENTO!$AF$7)*OFFSET(ORÇAMENTO!$W$15,ROW(AX37)-ROW(AX$15),0),15-13*ORÇAMENTO!$AF$11)),0)</f>
        <v>0</v>
      </c>
      <c r="AY37" s="631">
        <f ca="1">IF(AND($D37="Serviço",AY$12&lt;&gt;0,$H37&gt;0,OR(AUTOEVENTO&lt;&gt;"manual",$M37&lt;&gt;1)),
IF(Import.TipoArredondamento&lt;&gt;"TransfereGOV",
ROUND(OFFSET($P37,0,AY$13),15-13*ORÇAMENTO!$AF$7)/$H37*OFFSET(ORÇAMENTO!$X$15,ROW(AY37)-ROW(AY$15),0),
ROUND(ROUND(OFFSET($P37,0,AY$13),15-13*ORÇAMENTO!$AF$7)*OFFSET(ORÇAMENTO!$W$15,ROW(AY37)-ROW(AY$15),0),15-13*ORÇAMENTO!$AF$11)),0)</f>
        <v>0</v>
      </c>
      <c r="AZ37" s="631">
        <f ca="1">IF(AND($D37="Serviço",AZ$12&lt;&gt;0,$H37&gt;0,OR(AUTOEVENTO&lt;&gt;"manual",$M37&lt;&gt;1)),
IF(Import.TipoArredondamento&lt;&gt;"TransfereGOV",
ROUND(OFFSET($P37,0,AZ$13),15-13*ORÇAMENTO!$AF$7)/$H37*OFFSET(ORÇAMENTO!$X$15,ROW(AZ37)-ROW(AZ$15),0),
ROUND(ROUND(OFFSET($P37,0,AZ$13),15-13*ORÇAMENTO!$AF$7)*OFFSET(ORÇAMENTO!$W$15,ROW(AZ37)-ROW(AZ$15),0),15-13*ORÇAMENTO!$AF$11)),0)</f>
        <v>0</v>
      </c>
      <c r="BA37" s="632">
        <f ca="1">IF(AND($D37="Serviço",BA$12&lt;&gt;0,$H37&gt;0,OR(AUTOEVENTO&lt;&gt;"manual",$M37&lt;&gt;1)),
IF(Import.TipoArredondamento&lt;&gt;"TransfereGOV",
ROUND(OFFSET($P37,0,BA$13),15-13*ORÇAMENTO!$AF$7)/$H37*OFFSET(ORÇAMENTO!$X$15,ROW(BA37)-ROW(BA$15),0),
ROUND(ROUND(OFFSET($P37,0,BA$13),15-13*ORÇAMENTO!$AF$7)*OFFSET(ORÇAMENTO!$W$15,ROW(BA37)-ROW(BA$15),0),15-13*ORÇAMENTO!$AF$11)),0)</f>
        <v>0</v>
      </c>
      <c r="BC37" s="216">
        <f ca="1">IF($D37&lt;&gt;"Serviço",0,IF(AND(AUTOEVENTO="Manual",$M37=1),0,IF(OFFSET(CRONOPLE!$F$14,$M37,BC$13)="",10^12,OFFSET(CRONOPLE!$F$14,$M37,BC$13))))</f>
        <v>1</v>
      </c>
      <c r="BD37" s="216">
        <f ca="1">IF($D37&lt;&gt;"Serviço",0,IF(AND(AUTOEVENTO="Manual",$M37=1),0,IF(OFFSET(CRONOPLE!$F$14,$M37,BD$13)="",10^12,OFFSET(CRONOPLE!$F$14,$M37,BD$13))))</f>
        <v>1</v>
      </c>
      <c r="BE37" s="216">
        <f ca="1">IF($D37&lt;&gt;"Serviço",0,IF(AND(AUTOEVENTO="Manual",$M37=1),0,IF(OFFSET(CRONOPLE!$F$14,$M37,BE$13)="",10^12,OFFSET(CRONOPLE!$F$14,$M37,BE$13))))</f>
        <v>2</v>
      </c>
      <c r="BF37" s="216">
        <f ca="1">IF($D37&lt;&gt;"Serviço",0,IF(AND(AUTOEVENTO="Manual",$M37=1),0,IF(OFFSET(CRONOPLE!$F$14,$M37,BF$13)="",10^12,OFFSET(CRONOPLE!$F$14,$M37,BF$13))))</f>
        <v>2</v>
      </c>
      <c r="BG37" s="216">
        <f ca="1">IF($D37&lt;&gt;"Serviço",0,IF(AND(AUTOEVENTO="Manual",$M37=1),0,IF(OFFSET(CRONOPLE!$F$14,$M37,BG$13)="",10^12,OFFSET(CRONOPLE!$F$14,$M37,BG$13))))</f>
        <v>3</v>
      </c>
      <c r="BH37" s="216">
        <f ca="1">IF($D37&lt;&gt;"Serviço",0,IF(AND(AUTOEVENTO="Manual",$M37=1),0,IF(OFFSET(CRONOPLE!$F$14,$M37,BH$13)="",10^12,OFFSET(CRONOPLE!$F$14,$M37,BH$13))))</f>
        <v>4</v>
      </c>
      <c r="BI37" s="216">
        <f ca="1">IF($D37&lt;&gt;"Serviço",0,IF(AND(AUTOEVENTO="Manual",$M37=1),0,IF(OFFSET(CRONOPLE!$F$14,$M37,BI$13)="",10^12,OFFSET(CRONOPLE!$F$14,$M37,BI$13))))</f>
        <v>4</v>
      </c>
      <c r="BJ37" s="216">
        <f ca="1">IF($D37&lt;&gt;"Serviço",0,IF(AND(AUTOEVENTO="Manual",$M37=1),0,IF(OFFSET(CRONOPLE!$F$14,$M37,BJ$13)="",10^12,OFFSET(CRONOPLE!$F$14,$M37,BJ$13))))</f>
        <v>4</v>
      </c>
      <c r="BK37" s="216">
        <f ca="1">IF($D37&lt;&gt;"Serviço",0,IF(AND(AUTOEVENTO="Manual",$M37=1),0,IF(OFFSET(CRONOPLE!$F$14,$M37,BK$13)="",10^12,OFFSET(CRONOPLE!$F$14,$M37,BK$13))))</f>
        <v>5</v>
      </c>
      <c r="BL37" s="216">
        <f ca="1">IF($D37&lt;&gt;"Serviço",0,IF(AND(AUTOEVENTO="Manual",$M37=1),0,IF(OFFSET(CRONOPLE!$F$14,$M37,BL$13)="",10^12,OFFSET(CRONOPLE!$F$14,$M37,BL$13))))</f>
        <v>5</v>
      </c>
      <c r="BM37" s="216">
        <f ca="1">IF($D37&lt;&gt;"Serviço",0,IF(AND(AUTOEVENTO="Manual",$M37=1),0,IF(OFFSET(CRONOPLE!$F$14,$M37,BM$13)="",10^12,OFFSET(CRONOPLE!$F$14,$M37,BM$13))))</f>
        <v>6</v>
      </c>
      <c r="BN37" s="216">
        <f ca="1">IF($D37&lt;&gt;"Serviço",0,IF(AND(AUTOEVENTO="Manual",$M37=1),0,IF(OFFSET(CRONOPLE!$F$14,$M37,BN$13)="",10^12,OFFSET(CRONOPLE!$F$14,$M37,BN$13))))</f>
        <v>6</v>
      </c>
      <c r="BO37" s="216">
        <f ca="1">IF($D37&lt;&gt;"Serviço",0,IF(AND(AUTOEVENTO="Manual",$M37=1),0,IF(OFFSET(CRONOPLE!$F$14,$M37,BO$13)="",10^12,OFFSET(CRONOPLE!$F$14,$M37,BO$13))))</f>
        <v>6</v>
      </c>
      <c r="BP37" s="216">
        <f ca="1">IF($D37&lt;&gt;"Serviço",0,IF(AND(AUTOEVENTO="Manual",$M37=1),0,IF(OFFSET(CRONOPLE!$F$14,$M37,BP$13)="",10^12,OFFSET(CRONOPLE!$F$14,$M37,BP$13))))</f>
        <v>1000000000000</v>
      </c>
      <c r="BQ37" s="216">
        <f ca="1">IF($D37&lt;&gt;"Serviço",0,IF(AND(AUTOEVENTO="Manual",$M37=1),0,IF(OFFSET(CRONOPLE!$F$14,$M37,BQ$13)="",10^12,OFFSET(CRONOPLE!$F$14,$M37,BQ$13))))</f>
        <v>1000000000000</v>
      </c>
      <c r="BR37" s="216">
        <f ca="1">IF($D37&lt;&gt;"Serviço",0,IF(AND(AUTOEVENTO="Manual",$M37=1),0,IF(OFFSET(CRONOPLE!$F$14,$M37,BR$13)="",10^12,OFFSET(CRONOPLE!$F$14,$M37,BR$13))))</f>
        <v>1000000000000</v>
      </c>
      <c r="BS37" s="216">
        <f ca="1">IF($D37&lt;&gt;"Serviço",0,IF(AND(AUTOEVENTO="Manual",$M37=1),0,IF(OFFSET(CRONOPLE!$F$14,$M37,BS$13)="",10^12,OFFSET(CRONOPLE!$F$14,$M37,BS$13))))</f>
        <v>1000000000000</v>
      </c>
      <c r="BT37" s="216">
        <f ca="1">IF($D37&lt;&gt;"Serviço",0,IF(AND(AUTOEVENTO="Manual",$M37=1),0,IF(OFFSET(CRONOPLE!$F$14,$M37,BT$13)="",10^12,OFFSET(CRONOPLE!$F$14,$M37,BT$13))))</f>
        <v>1000000000000</v>
      </c>
      <c r="BV37" s="217">
        <f ca="1">IF($D37&lt;&gt;"Serviço",0,IF(OR(AND(AUTOEVENTO="Manual",$M37=1),$M37&gt;(ROW(PLE.lastrow)-ROW(PLE.firstrow))),0,IF(OFFSET(PLE!$G$14,$M37,BV$13)="",10^12,OFFSET(PLE!$G$14,$M37,BV$13))))</f>
        <v>1000000000000</v>
      </c>
      <c r="BW37" s="217">
        <f ca="1">IF($D37&lt;&gt;"Serviço",0,IF(OR(AND(AUTOEVENTO="Manual",$M37=1),$M37&gt;(ROW(PLE.lastrow)-ROW(PLE.firstrow))),0,IF(OFFSET(PLE!$G$14,$M37,BW$13)="",10^12,OFFSET(PLE!$G$14,$M37,BW$13))))</f>
        <v>1000000000000</v>
      </c>
      <c r="BX37" s="217">
        <f ca="1">IF($D37&lt;&gt;"Serviço",0,IF(OR(AND(AUTOEVENTO="Manual",$M37=1),$M37&gt;(ROW(PLE.lastrow)-ROW(PLE.firstrow))),0,IF(OFFSET(PLE!$G$14,$M37,BX$13)="",10^12,OFFSET(PLE!$G$14,$M37,BX$13))))</f>
        <v>1000000000000</v>
      </c>
      <c r="BY37" s="217">
        <f ca="1">IF($D37&lt;&gt;"Serviço",0,IF(OR(AND(AUTOEVENTO="Manual",$M37=1),$M37&gt;(ROW(PLE.lastrow)-ROW(PLE.firstrow))),0,IF(OFFSET(PLE!$G$14,$M37,BY$13)="",10^12,OFFSET(PLE!$G$14,$M37,BY$13))))</f>
        <v>1000000000000</v>
      </c>
      <c r="BZ37" s="217">
        <f ca="1">IF($D37&lt;&gt;"Serviço",0,IF(OR(AND(AUTOEVENTO="Manual",$M37=1),$M37&gt;(ROW(PLE.lastrow)-ROW(PLE.firstrow))),0,IF(OFFSET(PLE!$G$14,$M37,BZ$13)="",10^12,OFFSET(PLE!$G$14,$M37,BZ$13))))</f>
        <v>1000000000000</v>
      </c>
      <c r="CA37" s="217">
        <f ca="1">IF($D37&lt;&gt;"Serviço",0,IF(OR(AND(AUTOEVENTO="Manual",$M37=1),$M37&gt;(ROW(PLE.lastrow)-ROW(PLE.firstrow))),0,IF(OFFSET(PLE!$G$14,$M37,CA$13)="",10^12,OFFSET(PLE!$G$14,$M37,CA$13))))</f>
        <v>1000000000000</v>
      </c>
      <c r="CB37" s="217">
        <f ca="1">IF($D37&lt;&gt;"Serviço",0,IF(OR(AND(AUTOEVENTO="Manual",$M37=1),$M37&gt;(ROW(PLE.lastrow)-ROW(PLE.firstrow))),0,IF(OFFSET(PLE!$G$14,$M37,CB$13)="",10^12,OFFSET(PLE!$G$14,$M37,CB$13))))</f>
        <v>1000000000000</v>
      </c>
      <c r="CC37" s="217">
        <f ca="1">IF($D37&lt;&gt;"Serviço",0,IF(OR(AND(AUTOEVENTO="Manual",$M37=1),$M37&gt;(ROW(PLE.lastrow)-ROW(PLE.firstrow))),0,IF(OFFSET(PLE!$G$14,$M37,CC$13)="",10^12,OFFSET(PLE!$G$14,$M37,CC$13))))</f>
        <v>1000000000000</v>
      </c>
      <c r="CD37" s="217">
        <f ca="1">IF($D37&lt;&gt;"Serviço",0,IF(OR(AND(AUTOEVENTO="Manual",$M37=1),$M37&gt;(ROW(PLE.lastrow)-ROW(PLE.firstrow))),0,IF(OFFSET(PLE!$G$14,$M37,CD$13)="",10^12,OFFSET(PLE!$G$14,$M37,CD$13))))</f>
        <v>1000000000000</v>
      </c>
      <c r="CE37" s="217">
        <f ca="1">IF($D37&lt;&gt;"Serviço",0,IF(OR(AND(AUTOEVENTO="Manual",$M37=1),$M37&gt;(ROW(PLE.lastrow)-ROW(PLE.firstrow))),0,IF(OFFSET(PLE!$G$14,$M37,CE$13)="",10^12,OFFSET(PLE!$G$14,$M37,CE$13))))</f>
        <v>1000000000000</v>
      </c>
      <c r="CF37" s="217">
        <f ca="1">IF($D37&lt;&gt;"Serviço",0,IF(OR(AND(AUTOEVENTO="Manual",$M37=1),$M37&gt;(ROW(PLE.lastrow)-ROW(PLE.firstrow))),0,IF(OFFSET(PLE!$G$14,$M37,CF$13)="",10^12,OFFSET(PLE!$G$14,$M37,CF$13))))</f>
        <v>1000000000000</v>
      </c>
      <c r="CG37" s="217">
        <f ca="1">IF($D37&lt;&gt;"Serviço",0,IF(OR(AND(AUTOEVENTO="Manual",$M37=1),$M37&gt;(ROW(PLE.lastrow)-ROW(PLE.firstrow))),0,IF(OFFSET(PLE!$G$14,$M37,CG$13)="",10^12,OFFSET(PLE!$G$14,$M37,CG$13))))</f>
        <v>1000000000000</v>
      </c>
      <c r="CH37" s="217">
        <f ca="1">IF($D37&lt;&gt;"Serviço",0,IF(OR(AND(AUTOEVENTO="Manual",$M37=1),$M37&gt;(ROW(PLE.lastrow)-ROW(PLE.firstrow))),0,IF(OFFSET(PLE!$G$14,$M37,CH$13)="",10^12,OFFSET(PLE!$G$14,$M37,CH$13))))</f>
        <v>1000000000000</v>
      </c>
      <c r="CI37" s="217">
        <f ca="1">IF($D37&lt;&gt;"Serviço",0,IF(OR(AND(AUTOEVENTO="Manual",$M37=1),$M37&gt;(ROW(PLE.lastrow)-ROW(PLE.firstrow))),0,IF(OFFSET(PLE!$G$14,$M37,CI$13)="",10^12,OFFSET(PLE!$G$14,$M37,CI$13))))</f>
        <v>1000000000000</v>
      </c>
      <c r="CJ37" s="217">
        <f ca="1">IF($D37&lt;&gt;"Serviço",0,IF(OR(AND(AUTOEVENTO="Manual",$M37=1),$M37&gt;(ROW(PLE.lastrow)-ROW(PLE.firstrow))),0,IF(OFFSET(PLE!$G$14,$M37,CJ$13)="",10^12,OFFSET(PLE!$G$14,$M37,CJ$13))))</f>
        <v>1000000000000</v>
      </c>
      <c r="CK37" s="217">
        <f ca="1">IF($D37&lt;&gt;"Serviço",0,IF(OR(AND(AUTOEVENTO="Manual",$M37=1),$M37&gt;(ROW(PLE.lastrow)-ROW(PLE.firstrow))),0,IF(OFFSET(PLE!$G$14,$M37,CK$13)="",10^12,OFFSET(PLE!$G$14,$M37,CK$13))))</f>
        <v>1000000000000</v>
      </c>
      <c r="CL37" s="217">
        <f ca="1">IF($D37&lt;&gt;"Serviço",0,IF(OR(AND(AUTOEVENTO="Manual",$M37=1),$M37&gt;(ROW(PLE.lastrow)-ROW(PLE.firstrow))),0,IF(OFFSET(PLE!$G$14,$M37,CL$13)="",10^12,OFFSET(PLE!$G$14,$M37,CL$13))))</f>
        <v>1000000000000</v>
      </c>
      <c r="CM37" s="217">
        <f ca="1">IF($D37&lt;&gt;"Serviço",0,IF(OR(AND(AUTOEVENTO="Manual",$M37=1),$M37&gt;(ROW(PLE.lastrow)-ROW(PLE.firstrow))),0,IF(OFFSET(PLE!$G$14,$M37,CM$13)="",10^12,OFFSET(PLE!$G$14,$M37,CM$13))))</f>
        <v>1000000000000</v>
      </c>
    </row>
    <row r="38" spans="1:91" ht="25.5" x14ac:dyDescent="0.2">
      <c r="A38" s="9" t="str">
        <f t="shared" ca="1" si="9"/>
        <v>21</v>
      </c>
      <c r="B38" s="9" t="str">
        <f ca="1">OFFSET(ORÇAMENTO!C$15,ROW(B38)-ROW(B$15),0)</f>
        <v>S</v>
      </c>
      <c r="C38" s="9" t="str">
        <f ca="1">OFFSET(ORÇAMENTO!L$15,ROW(C38)-ROW(C$15),0)</f>
        <v/>
      </c>
      <c r="D38" s="146" t="str">
        <f ca="1">OFFSET(ORÇAMENTO!N$15,ROW(D38)-ROW(D$15),0)</f>
        <v>Serviço</v>
      </c>
      <c r="E38" s="206" t="str">
        <f ca="1">OFFSET(ORÇAMENTO!O$15,ROW(E38)-ROW(E$15),0)</f>
        <v>-</v>
      </c>
      <c r="F38" s="207" t="str">
        <f ca="1">OFFSET(ORÇAMENTO!R$15,ROW(F38)-ROW(F$15),0)</f>
        <v>(abra o arquivo 'Referência 12-2023.xlsm)</v>
      </c>
      <c r="G38" s="208" t="str">
        <f ca="1">IF($D38&lt;&gt;"Serviço","",OFFSET(ORÇAMENTO!S$15,ROW(G38)-ROW(G$15),0))</f>
        <v>-</v>
      </c>
      <c r="H38" s="152">
        <f ca="1">IF($D38&lt;&gt;"Serviço",0,IF(ACOMPANHAMENTO="BM",ROUND(OFFSET(ORÇAMENTO!AJ$15,ROW(H38)-ROW(H$15),0),15-13*ORÇAMENTO!$AF$7),SUMPRODUCT(($Q$12:$AI$12&lt;&gt;"")*ROUND($Q38:$AI38,15-13*ORÇAMENTO!$AF$7))))</f>
        <v>48131.939999999995</v>
      </c>
      <c r="I38" s="649" t="s">
        <v>504</v>
      </c>
      <c r="K38" s="209"/>
      <c r="L38" s="210" t="s">
        <v>255</v>
      </c>
      <c r="M38" s="211">
        <f ca="1">IF($D38&lt;&gt;"Serviço","",IF(AUTOEVENTO="manual",$A38,IF(ISERROR(MATCH($A38,$A$15:OFFSET($A38,-1,0),0)),MAX($M$15:OFFSET(M38,-1,0))+1,INDEX($M$15:OFFSET(M38,-1,0),MATCH($A38,$A$15:OFFSET($A38,-1,0),0)))))</f>
        <v>6</v>
      </c>
      <c r="N38" s="212" t="str">
        <f ca="1">IF($D38&lt;&gt;"Serviço","",IF(AUTOEVENTO="Manual",IF($A38=0,"&lt;-- defina o número do agrupador",OFFSET(EVENTOS!$D$14,$A38,0)),OFFSET($F$15,$A38,0)))</f>
        <v xml:space="preserve">PAVIMENTAÇÃO </v>
      </c>
      <c r="O38" s="213"/>
      <c r="Q38" s="213">
        <v>781.61</v>
      </c>
      <c r="R38" s="214">
        <v>4094.54</v>
      </c>
      <c r="S38" s="214">
        <v>2761.16</v>
      </c>
      <c r="T38" s="214">
        <v>6243.59</v>
      </c>
      <c r="U38" s="214">
        <v>12471.3</v>
      </c>
      <c r="V38" s="214">
        <v>682.62</v>
      </c>
      <c r="W38" s="214">
        <v>707.65</v>
      </c>
      <c r="X38" s="214">
        <v>6203.78</v>
      </c>
      <c r="Y38" s="215">
        <v>2352.6</v>
      </c>
      <c r="Z38" s="214">
        <v>6407.12</v>
      </c>
      <c r="AA38" s="214">
        <v>4925.95</v>
      </c>
      <c r="AB38" s="214">
        <v>500.02</v>
      </c>
      <c r="AC38" s="214"/>
      <c r="AD38" s="214"/>
      <c r="AE38" s="214"/>
      <c r="AF38" s="214"/>
      <c r="AG38" s="214"/>
      <c r="AH38" s="215"/>
      <c r="AJ38" s="630">
        <f ca="1">IF(AND($D38="Serviço",AJ$12&lt;&gt;0,$H38&gt;0,OR(AUTOEVENTO&lt;&gt;"manual",$M38&lt;&gt;1)),
IF(Import.TipoArredondamento&lt;&gt;"TransfereGOV",
ROUND(OFFSET($P38,0,AJ$13),15-13*ORÇAMENTO!$AF$7)/$H38*OFFSET(ORÇAMENTO!$X$15,ROW(AJ38)-ROW(AJ$15),0),
ROUND(ROUND(OFFSET($P38,0,AJ$13),15-13*ORÇAMENTO!$AF$7)*OFFSET(ORÇAMENTO!$W$15,ROW(AJ38)-ROW(AJ$15),0),15-13*ORÇAMENTO!$AF$11)),0)</f>
        <v>0</v>
      </c>
      <c r="AK38" s="631">
        <f ca="1">IF(AND($D38="Serviço",AK$12&lt;&gt;0,$H38&gt;0,OR(AUTOEVENTO&lt;&gt;"manual",$M38&lt;&gt;1)),
IF(Import.TipoArredondamento&lt;&gt;"TransfereGOV",
ROUND(OFFSET($P38,0,AK$13),15-13*ORÇAMENTO!$AF$7)/$H38*OFFSET(ORÇAMENTO!$X$15,ROW(AK38)-ROW(AK$15),0),
ROUND(ROUND(OFFSET($P38,0,AK$13),15-13*ORÇAMENTO!$AF$7)*OFFSET(ORÇAMENTO!$W$15,ROW(AK38)-ROW(AK$15),0),15-13*ORÇAMENTO!$AF$11)),0)</f>
        <v>0</v>
      </c>
      <c r="AL38" s="631">
        <f ca="1">IF(AND($D38="Serviço",AL$12&lt;&gt;0,$H38&gt;0,OR(AUTOEVENTO&lt;&gt;"manual",$M38&lt;&gt;1)),
IF(Import.TipoArredondamento&lt;&gt;"TransfereGOV",
ROUND(OFFSET($P38,0,AL$13),15-13*ORÇAMENTO!$AF$7)/$H38*OFFSET(ORÇAMENTO!$X$15,ROW(AL38)-ROW(AL$15),0),
ROUND(ROUND(OFFSET($P38,0,AL$13),15-13*ORÇAMENTO!$AF$7)*OFFSET(ORÇAMENTO!$W$15,ROW(AL38)-ROW(AL$15),0),15-13*ORÇAMENTO!$AF$11)),0)</f>
        <v>0</v>
      </c>
      <c r="AM38" s="631">
        <f ca="1">IF(AND($D38="Serviço",AM$12&lt;&gt;0,$H38&gt;0,OR(AUTOEVENTO&lt;&gt;"manual",$M38&lt;&gt;1)),
IF(Import.TipoArredondamento&lt;&gt;"TransfereGOV",
ROUND(OFFSET($P38,0,AM$13),15-13*ORÇAMENTO!$AF$7)/$H38*OFFSET(ORÇAMENTO!$X$15,ROW(AM38)-ROW(AM$15),0),
ROUND(ROUND(OFFSET($P38,0,AM$13),15-13*ORÇAMENTO!$AF$7)*OFFSET(ORÇAMENTO!$W$15,ROW(AM38)-ROW(AM$15),0),15-13*ORÇAMENTO!$AF$11)),0)</f>
        <v>0</v>
      </c>
      <c r="AN38" s="631">
        <f ca="1">IF(AND($D38="Serviço",AN$12&lt;&gt;0,$H38&gt;0,OR(AUTOEVENTO&lt;&gt;"manual",$M38&lt;&gt;1)),
IF(Import.TipoArredondamento&lt;&gt;"TransfereGOV",
ROUND(OFFSET($P38,0,AN$13),15-13*ORÇAMENTO!$AF$7)/$H38*OFFSET(ORÇAMENTO!$X$15,ROW(AN38)-ROW(AN$15),0),
ROUND(ROUND(OFFSET($P38,0,AN$13),15-13*ORÇAMENTO!$AF$7)*OFFSET(ORÇAMENTO!$W$15,ROW(AN38)-ROW(AN$15),0),15-13*ORÇAMENTO!$AF$11)),0)</f>
        <v>0</v>
      </c>
      <c r="AO38" s="631">
        <f ca="1">IF(AND($D38="Serviço",AO$12&lt;&gt;0,$H38&gt;0,OR(AUTOEVENTO&lt;&gt;"manual",$M38&lt;&gt;1)),
IF(Import.TipoArredondamento&lt;&gt;"TransfereGOV",
ROUND(OFFSET($P38,0,AO$13),15-13*ORÇAMENTO!$AF$7)/$H38*OFFSET(ORÇAMENTO!$X$15,ROW(AO38)-ROW(AO$15),0),
ROUND(ROUND(OFFSET($P38,0,AO$13),15-13*ORÇAMENTO!$AF$7)*OFFSET(ORÇAMENTO!$W$15,ROW(AO38)-ROW(AO$15),0),15-13*ORÇAMENTO!$AF$11)),0)</f>
        <v>0</v>
      </c>
      <c r="AP38" s="631">
        <f ca="1">IF(AND($D38="Serviço",AP$12&lt;&gt;0,$H38&gt;0,OR(AUTOEVENTO&lt;&gt;"manual",$M38&lt;&gt;1)),
IF(Import.TipoArredondamento&lt;&gt;"TransfereGOV",
ROUND(OFFSET($P38,0,AP$13),15-13*ORÇAMENTO!$AF$7)/$H38*OFFSET(ORÇAMENTO!$X$15,ROW(AP38)-ROW(AP$15),0),
ROUND(ROUND(OFFSET($P38,0,AP$13),15-13*ORÇAMENTO!$AF$7)*OFFSET(ORÇAMENTO!$W$15,ROW(AP38)-ROW(AP$15),0),15-13*ORÇAMENTO!$AF$11)),0)</f>
        <v>0</v>
      </c>
      <c r="AQ38" s="631">
        <f ca="1">IF(AND($D38="Serviço",AQ$12&lt;&gt;0,$H38&gt;0,OR(AUTOEVENTO&lt;&gt;"manual",$M38&lt;&gt;1)),
IF(Import.TipoArredondamento&lt;&gt;"TransfereGOV",
ROUND(OFFSET($P38,0,AQ$13),15-13*ORÇAMENTO!$AF$7)/$H38*OFFSET(ORÇAMENTO!$X$15,ROW(AQ38)-ROW(AQ$15),0),
ROUND(ROUND(OFFSET($P38,0,AQ$13),15-13*ORÇAMENTO!$AF$7)*OFFSET(ORÇAMENTO!$W$15,ROW(AQ38)-ROW(AQ$15),0),15-13*ORÇAMENTO!$AF$11)),0)</f>
        <v>0</v>
      </c>
      <c r="AR38" s="631">
        <f ca="1">IF(AND($D38="Serviço",AR$12&lt;&gt;0,$H38&gt;0,OR(AUTOEVENTO&lt;&gt;"manual",$M38&lt;&gt;1)),
IF(Import.TipoArredondamento&lt;&gt;"TransfereGOV",
ROUND(OFFSET($P38,0,AR$13),15-13*ORÇAMENTO!$AF$7)/$H38*OFFSET(ORÇAMENTO!$X$15,ROW(AR38)-ROW(AR$15),0),
ROUND(ROUND(OFFSET($P38,0,AR$13),15-13*ORÇAMENTO!$AF$7)*OFFSET(ORÇAMENTO!$W$15,ROW(AR38)-ROW(AR$15),0),15-13*ORÇAMENTO!$AF$11)),0)</f>
        <v>0</v>
      </c>
      <c r="AS38" s="632">
        <f ca="1">IF(AND($D38="Serviço",AS$12&lt;&gt;0,$H38&gt;0,OR(AUTOEVENTO&lt;&gt;"manual",$M38&lt;&gt;1)),
IF(Import.TipoArredondamento&lt;&gt;"TransfereGOV",
ROUND(OFFSET($P38,0,AS$13),15-13*ORÇAMENTO!$AF$7)/$H38*OFFSET(ORÇAMENTO!$X$15,ROW(AS38)-ROW(AS$15),0),
ROUND(ROUND(OFFSET($P38,0,AS$13),15-13*ORÇAMENTO!$AF$7)*OFFSET(ORÇAMENTO!$W$15,ROW(AS38)-ROW(AS$15),0),15-13*ORÇAMENTO!$AF$11)),0)</f>
        <v>0</v>
      </c>
      <c r="AT38" s="631">
        <f ca="1">IF(AND($D38="Serviço",AT$12&lt;&gt;0,$H38&gt;0,OR(AUTOEVENTO&lt;&gt;"manual",$M38&lt;&gt;1)),
IF(Import.TipoArredondamento&lt;&gt;"TransfereGOV",
ROUND(OFFSET($P38,0,AT$13),15-13*ORÇAMENTO!$AF$7)/$H38*OFFSET(ORÇAMENTO!$X$15,ROW(AT38)-ROW(AT$15),0),
ROUND(ROUND(OFFSET($P38,0,AT$13),15-13*ORÇAMENTO!$AF$7)*OFFSET(ORÇAMENTO!$W$15,ROW(AT38)-ROW(AT$15),0),15-13*ORÇAMENTO!$AF$11)),0)</f>
        <v>0</v>
      </c>
      <c r="AU38" s="631">
        <f ca="1">IF(AND($D38="Serviço",AU$12&lt;&gt;0,$H38&gt;0,OR(AUTOEVENTO&lt;&gt;"manual",$M38&lt;&gt;1)),
IF(Import.TipoArredondamento&lt;&gt;"TransfereGOV",
ROUND(OFFSET($P38,0,AU$13),15-13*ORÇAMENTO!$AF$7)/$H38*OFFSET(ORÇAMENTO!$X$15,ROW(AU38)-ROW(AU$15),0),
ROUND(ROUND(OFFSET($P38,0,AU$13),15-13*ORÇAMENTO!$AF$7)*OFFSET(ORÇAMENTO!$W$15,ROW(AU38)-ROW(AU$15),0),15-13*ORÇAMENTO!$AF$11)),0)</f>
        <v>0</v>
      </c>
      <c r="AV38" s="631">
        <f ca="1">IF(AND($D38="Serviço",AV$12&lt;&gt;0,$H38&gt;0,OR(AUTOEVENTO&lt;&gt;"manual",$M38&lt;&gt;1)),
IF(Import.TipoArredondamento&lt;&gt;"TransfereGOV",
ROUND(OFFSET($P38,0,AV$13),15-13*ORÇAMENTO!$AF$7)/$H38*OFFSET(ORÇAMENTO!$X$15,ROW(AV38)-ROW(AV$15),0),
ROUND(ROUND(OFFSET($P38,0,AV$13),15-13*ORÇAMENTO!$AF$7)*OFFSET(ORÇAMENTO!$W$15,ROW(AV38)-ROW(AV$15),0),15-13*ORÇAMENTO!$AF$11)),0)</f>
        <v>0</v>
      </c>
      <c r="AW38" s="631">
        <f ca="1">IF(AND($D38="Serviço",AW$12&lt;&gt;0,$H38&gt;0,OR(AUTOEVENTO&lt;&gt;"manual",$M38&lt;&gt;1)),
IF(Import.TipoArredondamento&lt;&gt;"TransfereGOV",
ROUND(OFFSET($P38,0,AW$13),15-13*ORÇAMENTO!$AF$7)/$H38*OFFSET(ORÇAMENTO!$X$15,ROW(AW38)-ROW(AW$15),0),
ROUND(ROUND(OFFSET($P38,0,AW$13),15-13*ORÇAMENTO!$AF$7)*OFFSET(ORÇAMENTO!$W$15,ROW(AW38)-ROW(AW$15),0),15-13*ORÇAMENTO!$AF$11)),0)</f>
        <v>0</v>
      </c>
      <c r="AX38" s="631">
        <f ca="1">IF(AND($D38="Serviço",AX$12&lt;&gt;0,$H38&gt;0,OR(AUTOEVENTO&lt;&gt;"manual",$M38&lt;&gt;1)),
IF(Import.TipoArredondamento&lt;&gt;"TransfereGOV",
ROUND(OFFSET($P38,0,AX$13),15-13*ORÇAMENTO!$AF$7)/$H38*OFFSET(ORÇAMENTO!$X$15,ROW(AX38)-ROW(AX$15),0),
ROUND(ROUND(OFFSET($P38,0,AX$13),15-13*ORÇAMENTO!$AF$7)*OFFSET(ORÇAMENTO!$W$15,ROW(AX38)-ROW(AX$15),0),15-13*ORÇAMENTO!$AF$11)),0)</f>
        <v>0</v>
      </c>
      <c r="AY38" s="631">
        <f ca="1">IF(AND($D38="Serviço",AY$12&lt;&gt;0,$H38&gt;0,OR(AUTOEVENTO&lt;&gt;"manual",$M38&lt;&gt;1)),
IF(Import.TipoArredondamento&lt;&gt;"TransfereGOV",
ROUND(OFFSET($P38,0,AY$13),15-13*ORÇAMENTO!$AF$7)/$H38*OFFSET(ORÇAMENTO!$X$15,ROW(AY38)-ROW(AY$15),0),
ROUND(ROUND(OFFSET($P38,0,AY$13),15-13*ORÇAMENTO!$AF$7)*OFFSET(ORÇAMENTO!$W$15,ROW(AY38)-ROW(AY$15),0),15-13*ORÇAMENTO!$AF$11)),0)</f>
        <v>0</v>
      </c>
      <c r="AZ38" s="631">
        <f ca="1">IF(AND($D38="Serviço",AZ$12&lt;&gt;0,$H38&gt;0,OR(AUTOEVENTO&lt;&gt;"manual",$M38&lt;&gt;1)),
IF(Import.TipoArredondamento&lt;&gt;"TransfereGOV",
ROUND(OFFSET($P38,0,AZ$13),15-13*ORÇAMENTO!$AF$7)/$H38*OFFSET(ORÇAMENTO!$X$15,ROW(AZ38)-ROW(AZ$15),0),
ROUND(ROUND(OFFSET($P38,0,AZ$13),15-13*ORÇAMENTO!$AF$7)*OFFSET(ORÇAMENTO!$W$15,ROW(AZ38)-ROW(AZ$15),0),15-13*ORÇAMENTO!$AF$11)),0)</f>
        <v>0</v>
      </c>
      <c r="BA38" s="632">
        <f ca="1">IF(AND($D38="Serviço",BA$12&lt;&gt;0,$H38&gt;0,OR(AUTOEVENTO&lt;&gt;"manual",$M38&lt;&gt;1)),
IF(Import.TipoArredondamento&lt;&gt;"TransfereGOV",
ROUND(OFFSET($P38,0,BA$13),15-13*ORÇAMENTO!$AF$7)/$H38*OFFSET(ORÇAMENTO!$X$15,ROW(BA38)-ROW(BA$15),0),
ROUND(ROUND(OFFSET($P38,0,BA$13),15-13*ORÇAMENTO!$AF$7)*OFFSET(ORÇAMENTO!$W$15,ROW(BA38)-ROW(BA$15),0),15-13*ORÇAMENTO!$AF$11)),0)</f>
        <v>0</v>
      </c>
      <c r="BC38" s="216">
        <f ca="1">IF($D38&lt;&gt;"Serviço",0,IF(AND(AUTOEVENTO="Manual",$M38=1),0,IF(OFFSET(CRONOPLE!$F$14,$M38,BC$13)="",10^12,OFFSET(CRONOPLE!$F$14,$M38,BC$13))))</f>
        <v>1</v>
      </c>
      <c r="BD38" s="216">
        <f ca="1">IF($D38&lt;&gt;"Serviço",0,IF(AND(AUTOEVENTO="Manual",$M38=1),0,IF(OFFSET(CRONOPLE!$F$14,$M38,BD$13)="",10^12,OFFSET(CRONOPLE!$F$14,$M38,BD$13))))</f>
        <v>1</v>
      </c>
      <c r="BE38" s="216">
        <f ca="1">IF($D38&lt;&gt;"Serviço",0,IF(AND(AUTOEVENTO="Manual",$M38=1),0,IF(OFFSET(CRONOPLE!$F$14,$M38,BE$13)="",10^12,OFFSET(CRONOPLE!$F$14,$M38,BE$13))))</f>
        <v>2</v>
      </c>
      <c r="BF38" s="216">
        <f ca="1">IF($D38&lt;&gt;"Serviço",0,IF(AND(AUTOEVENTO="Manual",$M38=1),0,IF(OFFSET(CRONOPLE!$F$14,$M38,BF$13)="",10^12,OFFSET(CRONOPLE!$F$14,$M38,BF$13))))</f>
        <v>2</v>
      </c>
      <c r="BG38" s="216">
        <f ca="1">IF($D38&lt;&gt;"Serviço",0,IF(AND(AUTOEVENTO="Manual",$M38=1),0,IF(OFFSET(CRONOPLE!$F$14,$M38,BG$13)="",10^12,OFFSET(CRONOPLE!$F$14,$M38,BG$13))))</f>
        <v>3</v>
      </c>
      <c r="BH38" s="216">
        <f ca="1">IF($D38&lt;&gt;"Serviço",0,IF(AND(AUTOEVENTO="Manual",$M38=1),0,IF(OFFSET(CRONOPLE!$F$14,$M38,BH$13)="",10^12,OFFSET(CRONOPLE!$F$14,$M38,BH$13))))</f>
        <v>4</v>
      </c>
      <c r="BI38" s="216">
        <f ca="1">IF($D38&lt;&gt;"Serviço",0,IF(AND(AUTOEVENTO="Manual",$M38=1),0,IF(OFFSET(CRONOPLE!$F$14,$M38,BI$13)="",10^12,OFFSET(CRONOPLE!$F$14,$M38,BI$13))))</f>
        <v>4</v>
      </c>
      <c r="BJ38" s="216">
        <f ca="1">IF($D38&lt;&gt;"Serviço",0,IF(AND(AUTOEVENTO="Manual",$M38=1),0,IF(OFFSET(CRONOPLE!$F$14,$M38,BJ$13)="",10^12,OFFSET(CRONOPLE!$F$14,$M38,BJ$13))))</f>
        <v>4</v>
      </c>
      <c r="BK38" s="216">
        <f ca="1">IF($D38&lt;&gt;"Serviço",0,IF(AND(AUTOEVENTO="Manual",$M38=1),0,IF(OFFSET(CRONOPLE!$F$14,$M38,BK$13)="",10^12,OFFSET(CRONOPLE!$F$14,$M38,BK$13))))</f>
        <v>5</v>
      </c>
      <c r="BL38" s="216">
        <f ca="1">IF($D38&lt;&gt;"Serviço",0,IF(AND(AUTOEVENTO="Manual",$M38=1),0,IF(OFFSET(CRONOPLE!$F$14,$M38,BL$13)="",10^12,OFFSET(CRONOPLE!$F$14,$M38,BL$13))))</f>
        <v>5</v>
      </c>
      <c r="BM38" s="216">
        <f ca="1">IF($D38&lt;&gt;"Serviço",0,IF(AND(AUTOEVENTO="Manual",$M38=1),0,IF(OFFSET(CRONOPLE!$F$14,$M38,BM$13)="",10^12,OFFSET(CRONOPLE!$F$14,$M38,BM$13))))</f>
        <v>6</v>
      </c>
      <c r="BN38" s="216">
        <f ca="1">IF($D38&lt;&gt;"Serviço",0,IF(AND(AUTOEVENTO="Manual",$M38=1),0,IF(OFFSET(CRONOPLE!$F$14,$M38,BN$13)="",10^12,OFFSET(CRONOPLE!$F$14,$M38,BN$13))))</f>
        <v>6</v>
      </c>
      <c r="BO38" s="216">
        <f ca="1">IF($D38&lt;&gt;"Serviço",0,IF(AND(AUTOEVENTO="Manual",$M38=1),0,IF(OFFSET(CRONOPLE!$F$14,$M38,BO$13)="",10^12,OFFSET(CRONOPLE!$F$14,$M38,BO$13))))</f>
        <v>6</v>
      </c>
      <c r="BP38" s="216">
        <f ca="1">IF($D38&lt;&gt;"Serviço",0,IF(AND(AUTOEVENTO="Manual",$M38=1),0,IF(OFFSET(CRONOPLE!$F$14,$M38,BP$13)="",10^12,OFFSET(CRONOPLE!$F$14,$M38,BP$13))))</f>
        <v>1000000000000</v>
      </c>
      <c r="BQ38" s="216">
        <f ca="1">IF($D38&lt;&gt;"Serviço",0,IF(AND(AUTOEVENTO="Manual",$M38=1),0,IF(OFFSET(CRONOPLE!$F$14,$M38,BQ$13)="",10^12,OFFSET(CRONOPLE!$F$14,$M38,BQ$13))))</f>
        <v>1000000000000</v>
      </c>
      <c r="BR38" s="216">
        <f ca="1">IF($D38&lt;&gt;"Serviço",0,IF(AND(AUTOEVENTO="Manual",$M38=1),0,IF(OFFSET(CRONOPLE!$F$14,$M38,BR$13)="",10^12,OFFSET(CRONOPLE!$F$14,$M38,BR$13))))</f>
        <v>1000000000000</v>
      </c>
      <c r="BS38" s="216">
        <f ca="1">IF($D38&lt;&gt;"Serviço",0,IF(AND(AUTOEVENTO="Manual",$M38=1),0,IF(OFFSET(CRONOPLE!$F$14,$M38,BS$13)="",10^12,OFFSET(CRONOPLE!$F$14,$M38,BS$13))))</f>
        <v>1000000000000</v>
      </c>
      <c r="BT38" s="216">
        <f ca="1">IF($D38&lt;&gt;"Serviço",0,IF(AND(AUTOEVENTO="Manual",$M38=1),0,IF(OFFSET(CRONOPLE!$F$14,$M38,BT$13)="",10^12,OFFSET(CRONOPLE!$F$14,$M38,BT$13))))</f>
        <v>1000000000000</v>
      </c>
      <c r="BV38" s="217">
        <f ca="1">IF($D38&lt;&gt;"Serviço",0,IF(OR(AND(AUTOEVENTO="Manual",$M38=1),$M38&gt;(ROW(PLE.lastrow)-ROW(PLE.firstrow))),0,IF(OFFSET(PLE!$G$14,$M38,BV$13)="",10^12,OFFSET(PLE!$G$14,$M38,BV$13))))</f>
        <v>1000000000000</v>
      </c>
      <c r="BW38" s="217">
        <f ca="1">IF($D38&lt;&gt;"Serviço",0,IF(OR(AND(AUTOEVENTO="Manual",$M38=1),$M38&gt;(ROW(PLE.lastrow)-ROW(PLE.firstrow))),0,IF(OFFSET(PLE!$G$14,$M38,BW$13)="",10^12,OFFSET(PLE!$G$14,$M38,BW$13))))</f>
        <v>1000000000000</v>
      </c>
      <c r="BX38" s="217">
        <f ca="1">IF($D38&lt;&gt;"Serviço",0,IF(OR(AND(AUTOEVENTO="Manual",$M38=1),$M38&gt;(ROW(PLE.lastrow)-ROW(PLE.firstrow))),0,IF(OFFSET(PLE!$G$14,$M38,BX$13)="",10^12,OFFSET(PLE!$G$14,$M38,BX$13))))</f>
        <v>1000000000000</v>
      </c>
      <c r="BY38" s="217">
        <f ca="1">IF($D38&lt;&gt;"Serviço",0,IF(OR(AND(AUTOEVENTO="Manual",$M38=1),$M38&gt;(ROW(PLE.lastrow)-ROW(PLE.firstrow))),0,IF(OFFSET(PLE!$G$14,$M38,BY$13)="",10^12,OFFSET(PLE!$G$14,$M38,BY$13))))</f>
        <v>1000000000000</v>
      </c>
      <c r="BZ38" s="217">
        <f ca="1">IF($D38&lt;&gt;"Serviço",0,IF(OR(AND(AUTOEVENTO="Manual",$M38=1),$M38&gt;(ROW(PLE.lastrow)-ROW(PLE.firstrow))),0,IF(OFFSET(PLE!$G$14,$M38,BZ$13)="",10^12,OFFSET(PLE!$G$14,$M38,BZ$13))))</f>
        <v>1000000000000</v>
      </c>
      <c r="CA38" s="217">
        <f ca="1">IF($D38&lt;&gt;"Serviço",0,IF(OR(AND(AUTOEVENTO="Manual",$M38=1),$M38&gt;(ROW(PLE.lastrow)-ROW(PLE.firstrow))),0,IF(OFFSET(PLE!$G$14,$M38,CA$13)="",10^12,OFFSET(PLE!$G$14,$M38,CA$13))))</f>
        <v>1000000000000</v>
      </c>
      <c r="CB38" s="217">
        <f ca="1">IF($D38&lt;&gt;"Serviço",0,IF(OR(AND(AUTOEVENTO="Manual",$M38=1),$M38&gt;(ROW(PLE.lastrow)-ROW(PLE.firstrow))),0,IF(OFFSET(PLE!$G$14,$M38,CB$13)="",10^12,OFFSET(PLE!$G$14,$M38,CB$13))))</f>
        <v>1000000000000</v>
      </c>
      <c r="CC38" s="217">
        <f ca="1">IF($D38&lt;&gt;"Serviço",0,IF(OR(AND(AUTOEVENTO="Manual",$M38=1),$M38&gt;(ROW(PLE.lastrow)-ROW(PLE.firstrow))),0,IF(OFFSET(PLE!$G$14,$M38,CC$13)="",10^12,OFFSET(PLE!$G$14,$M38,CC$13))))</f>
        <v>1000000000000</v>
      </c>
      <c r="CD38" s="217">
        <f ca="1">IF($D38&lt;&gt;"Serviço",0,IF(OR(AND(AUTOEVENTO="Manual",$M38=1),$M38&gt;(ROW(PLE.lastrow)-ROW(PLE.firstrow))),0,IF(OFFSET(PLE!$G$14,$M38,CD$13)="",10^12,OFFSET(PLE!$G$14,$M38,CD$13))))</f>
        <v>1000000000000</v>
      </c>
      <c r="CE38" s="217">
        <f ca="1">IF($D38&lt;&gt;"Serviço",0,IF(OR(AND(AUTOEVENTO="Manual",$M38=1),$M38&gt;(ROW(PLE.lastrow)-ROW(PLE.firstrow))),0,IF(OFFSET(PLE!$G$14,$M38,CE$13)="",10^12,OFFSET(PLE!$G$14,$M38,CE$13))))</f>
        <v>1000000000000</v>
      </c>
      <c r="CF38" s="217">
        <f ca="1">IF($D38&lt;&gt;"Serviço",0,IF(OR(AND(AUTOEVENTO="Manual",$M38=1),$M38&gt;(ROW(PLE.lastrow)-ROW(PLE.firstrow))),0,IF(OFFSET(PLE!$G$14,$M38,CF$13)="",10^12,OFFSET(PLE!$G$14,$M38,CF$13))))</f>
        <v>1000000000000</v>
      </c>
      <c r="CG38" s="217">
        <f ca="1">IF($D38&lt;&gt;"Serviço",0,IF(OR(AND(AUTOEVENTO="Manual",$M38=1),$M38&gt;(ROW(PLE.lastrow)-ROW(PLE.firstrow))),0,IF(OFFSET(PLE!$G$14,$M38,CG$13)="",10^12,OFFSET(PLE!$G$14,$M38,CG$13))))</f>
        <v>1000000000000</v>
      </c>
      <c r="CH38" s="217">
        <f ca="1">IF($D38&lt;&gt;"Serviço",0,IF(OR(AND(AUTOEVENTO="Manual",$M38=1),$M38&gt;(ROW(PLE.lastrow)-ROW(PLE.firstrow))),0,IF(OFFSET(PLE!$G$14,$M38,CH$13)="",10^12,OFFSET(PLE!$G$14,$M38,CH$13))))</f>
        <v>1000000000000</v>
      </c>
      <c r="CI38" s="217">
        <f ca="1">IF($D38&lt;&gt;"Serviço",0,IF(OR(AND(AUTOEVENTO="Manual",$M38=1),$M38&gt;(ROW(PLE.lastrow)-ROW(PLE.firstrow))),0,IF(OFFSET(PLE!$G$14,$M38,CI$13)="",10^12,OFFSET(PLE!$G$14,$M38,CI$13))))</f>
        <v>1000000000000</v>
      </c>
      <c r="CJ38" s="217">
        <f ca="1">IF($D38&lt;&gt;"Serviço",0,IF(OR(AND(AUTOEVENTO="Manual",$M38=1),$M38&gt;(ROW(PLE.lastrow)-ROW(PLE.firstrow))),0,IF(OFFSET(PLE!$G$14,$M38,CJ$13)="",10^12,OFFSET(PLE!$G$14,$M38,CJ$13))))</f>
        <v>1000000000000</v>
      </c>
      <c r="CK38" s="217">
        <f ca="1">IF($D38&lt;&gt;"Serviço",0,IF(OR(AND(AUTOEVENTO="Manual",$M38=1),$M38&gt;(ROW(PLE.lastrow)-ROW(PLE.firstrow))),0,IF(OFFSET(PLE!$G$14,$M38,CK$13)="",10^12,OFFSET(PLE!$G$14,$M38,CK$13))))</f>
        <v>1000000000000</v>
      </c>
      <c r="CL38" s="217">
        <f ca="1">IF($D38&lt;&gt;"Serviço",0,IF(OR(AND(AUTOEVENTO="Manual",$M38=1),$M38&gt;(ROW(PLE.lastrow)-ROW(PLE.firstrow))),0,IF(OFFSET(PLE!$G$14,$M38,CL$13)="",10^12,OFFSET(PLE!$G$14,$M38,CL$13))))</f>
        <v>1000000000000</v>
      </c>
      <c r="CM38" s="217">
        <f ca="1">IF($D38&lt;&gt;"Serviço",0,IF(OR(AND(AUTOEVENTO="Manual",$M38=1),$M38&gt;(ROW(PLE.lastrow)-ROW(PLE.firstrow))),0,IF(OFFSET(PLE!$G$14,$M38,CM$13)="",10^12,OFFSET(PLE!$G$14,$M38,CM$13))))</f>
        <v>1000000000000</v>
      </c>
    </row>
    <row r="39" spans="1:91" ht="12.75" x14ac:dyDescent="0.2">
      <c r="A39" s="9" t="str">
        <f t="shared" ca="1" si="9"/>
        <v>24.</v>
      </c>
      <c r="B39" s="9">
        <f ca="1">OFFSET(ORÇAMENTO!C$15,ROW(B39)-ROW(B$15),0)</f>
        <v>2</v>
      </c>
      <c r="C39" s="9" t="str">
        <f ca="1">OFFSET(ORÇAMENTO!L$15,ROW(C39)-ROW(C$15),0)</f>
        <v>F</v>
      </c>
      <c r="D39" s="146" t="str">
        <f ca="1">OFFSET(ORÇAMENTO!N$15,ROW(D39)-ROW(D$15),0)</f>
        <v>Nível 2</v>
      </c>
      <c r="E39" s="206" t="str">
        <f ca="1">OFFSET(ORÇAMENTO!O$15,ROW(E39)-ROW(E$15),0)</f>
        <v>1.6.</v>
      </c>
      <c r="F39" s="207" t="str">
        <f ca="1">OFFSET(ORÇAMENTO!R$15,ROW(F39)-ROW(F$15),0)</f>
        <v xml:space="preserve">MEIO-FIO E DRENAGEM </v>
      </c>
      <c r="G39" s="208" t="str">
        <f ca="1">IF($D39&lt;&gt;"Serviço","",OFFSET(ORÇAMENTO!S$15,ROW(G39)-ROW(G$15),0))</f>
        <v/>
      </c>
      <c r="H39" s="152">
        <f ca="1">IF($D39&lt;&gt;"Serviço",0,IF(ACOMPANHAMENTO="BM",ROUND(OFFSET(ORÇAMENTO!AJ$15,ROW(H39)-ROW(H$15),0),15-13*ORÇAMENTO!$AF$7),SUMPRODUCT(($Q$12:$AI$12&lt;&gt;"")*ROUND($Q39:$AI39,15-13*ORÇAMENTO!$AF$7))))</f>
        <v>0</v>
      </c>
      <c r="I39" s="649"/>
      <c r="K39" s="209"/>
      <c r="L39" s="210" t="s">
        <v>255</v>
      </c>
      <c r="M39" s="211" t="str">
        <f ca="1">IF($D39&lt;&gt;"Serviço","",IF(AUTOEVENTO="manual",$A39,IF(ISERROR(MATCH($A39,$A$15:OFFSET($A39,-1,0),0)),MAX($M$15:OFFSET(M39,-1,0))+1,INDEX($M$15:OFFSET(M39,-1,0),MATCH($A39,$A$15:OFFSET($A39,-1,0),0)))))</f>
        <v/>
      </c>
      <c r="N39" s="212" t="str">
        <f ca="1">IF($D39&lt;&gt;"Serviço","",IF(AUTOEVENTO="Manual",IF($A39=0,"&lt;-- defina o número do agrupador",OFFSET(EVENTOS!$D$14,$A39,0)),OFFSET($F$15,$A39,0)))</f>
        <v/>
      </c>
      <c r="O39" s="213"/>
      <c r="Q39" s="213"/>
      <c r="R39" s="214"/>
      <c r="S39" s="214"/>
      <c r="T39" s="214"/>
      <c r="U39" s="214"/>
      <c r="V39" s="214"/>
      <c r="W39" s="214"/>
      <c r="X39" s="214"/>
      <c r="Y39" s="215"/>
      <c r="Z39" s="214"/>
      <c r="AA39" s="214"/>
      <c r="AB39" s="214"/>
      <c r="AC39" s="214"/>
      <c r="AD39" s="214"/>
      <c r="AE39" s="214"/>
      <c r="AF39" s="214"/>
      <c r="AG39" s="214"/>
      <c r="AH39" s="215"/>
      <c r="AJ39" s="630">
        <f ca="1">IF(AND($D39="Serviço",AJ$12&lt;&gt;0,$H39&gt;0,OR(AUTOEVENTO&lt;&gt;"manual",$M39&lt;&gt;1)),
IF(Import.TipoArredondamento&lt;&gt;"TransfereGOV",
ROUND(OFFSET($P39,0,AJ$13),15-13*ORÇAMENTO!$AF$7)/$H39*OFFSET(ORÇAMENTO!$X$15,ROW(AJ39)-ROW(AJ$15),0),
ROUND(ROUND(OFFSET($P39,0,AJ$13),15-13*ORÇAMENTO!$AF$7)*OFFSET(ORÇAMENTO!$W$15,ROW(AJ39)-ROW(AJ$15),0),15-13*ORÇAMENTO!$AF$11)),0)</f>
        <v>0</v>
      </c>
      <c r="AK39" s="631">
        <f ca="1">IF(AND($D39="Serviço",AK$12&lt;&gt;0,$H39&gt;0,OR(AUTOEVENTO&lt;&gt;"manual",$M39&lt;&gt;1)),
IF(Import.TipoArredondamento&lt;&gt;"TransfereGOV",
ROUND(OFFSET($P39,0,AK$13),15-13*ORÇAMENTO!$AF$7)/$H39*OFFSET(ORÇAMENTO!$X$15,ROW(AK39)-ROW(AK$15),0),
ROUND(ROUND(OFFSET($P39,0,AK$13),15-13*ORÇAMENTO!$AF$7)*OFFSET(ORÇAMENTO!$W$15,ROW(AK39)-ROW(AK$15),0),15-13*ORÇAMENTO!$AF$11)),0)</f>
        <v>0</v>
      </c>
      <c r="AL39" s="631">
        <f ca="1">IF(AND($D39="Serviço",AL$12&lt;&gt;0,$H39&gt;0,OR(AUTOEVENTO&lt;&gt;"manual",$M39&lt;&gt;1)),
IF(Import.TipoArredondamento&lt;&gt;"TransfereGOV",
ROUND(OFFSET($P39,0,AL$13),15-13*ORÇAMENTO!$AF$7)/$H39*OFFSET(ORÇAMENTO!$X$15,ROW(AL39)-ROW(AL$15),0),
ROUND(ROUND(OFFSET($P39,0,AL$13),15-13*ORÇAMENTO!$AF$7)*OFFSET(ORÇAMENTO!$W$15,ROW(AL39)-ROW(AL$15),0),15-13*ORÇAMENTO!$AF$11)),0)</f>
        <v>0</v>
      </c>
      <c r="AM39" s="631">
        <f ca="1">IF(AND($D39="Serviço",AM$12&lt;&gt;0,$H39&gt;0,OR(AUTOEVENTO&lt;&gt;"manual",$M39&lt;&gt;1)),
IF(Import.TipoArredondamento&lt;&gt;"TransfereGOV",
ROUND(OFFSET($P39,0,AM$13),15-13*ORÇAMENTO!$AF$7)/$H39*OFFSET(ORÇAMENTO!$X$15,ROW(AM39)-ROW(AM$15),0),
ROUND(ROUND(OFFSET($P39,0,AM$13),15-13*ORÇAMENTO!$AF$7)*OFFSET(ORÇAMENTO!$W$15,ROW(AM39)-ROW(AM$15),0),15-13*ORÇAMENTO!$AF$11)),0)</f>
        <v>0</v>
      </c>
      <c r="AN39" s="631">
        <f ca="1">IF(AND($D39="Serviço",AN$12&lt;&gt;0,$H39&gt;0,OR(AUTOEVENTO&lt;&gt;"manual",$M39&lt;&gt;1)),
IF(Import.TipoArredondamento&lt;&gt;"TransfereGOV",
ROUND(OFFSET($P39,0,AN$13),15-13*ORÇAMENTO!$AF$7)/$H39*OFFSET(ORÇAMENTO!$X$15,ROW(AN39)-ROW(AN$15),0),
ROUND(ROUND(OFFSET($P39,0,AN$13),15-13*ORÇAMENTO!$AF$7)*OFFSET(ORÇAMENTO!$W$15,ROW(AN39)-ROW(AN$15),0),15-13*ORÇAMENTO!$AF$11)),0)</f>
        <v>0</v>
      </c>
      <c r="AO39" s="631">
        <f ca="1">IF(AND($D39="Serviço",AO$12&lt;&gt;0,$H39&gt;0,OR(AUTOEVENTO&lt;&gt;"manual",$M39&lt;&gt;1)),
IF(Import.TipoArredondamento&lt;&gt;"TransfereGOV",
ROUND(OFFSET($P39,0,AO$13),15-13*ORÇAMENTO!$AF$7)/$H39*OFFSET(ORÇAMENTO!$X$15,ROW(AO39)-ROW(AO$15),0),
ROUND(ROUND(OFFSET($P39,0,AO$13),15-13*ORÇAMENTO!$AF$7)*OFFSET(ORÇAMENTO!$W$15,ROW(AO39)-ROW(AO$15),0),15-13*ORÇAMENTO!$AF$11)),0)</f>
        <v>0</v>
      </c>
      <c r="AP39" s="631">
        <f ca="1">IF(AND($D39="Serviço",AP$12&lt;&gt;0,$H39&gt;0,OR(AUTOEVENTO&lt;&gt;"manual",$M39&lt;&gt;1)),
IF(Import.TipoArredondamento&lt;&gt;"TransfereGOV",
ROUND(OFFSET($P39,0,AP$13),15-13*ORÇAMENTO!$AF$7)/$H39*OFFSET(ORÇAMENTO!$X$15,ROW(AP39)-ROW(AP$15),0),
ROUND(ROUND(OFFSET($P39,0,AP$13),15-13*ORÇAMENTO!$AF$7)*OFFSET(ORÇAMENTO!$W$15,ROW(AP39)-ROW(AP$15),0),15-13*ORÇAMENTO!$AF$11)),0)</f>
        <v>0</v>
      </c>
      <c r="AQ39" s="631">
        <f ca="1">IF(AND($D39="Serviço",AQ$12&lt;&gt;0,$H39&gt;0,OR(AUTOEVENTO&lt;&gt;"manual",$M39&lt;&gt;1)),
IF(Import.TipoArredondamento&lt;&gt;"TransfereGOV",
ROUND(OFFSET($P39,0,AQ$13),15-13*ORÇAMENTO!$AF$7)/$H39*OFFSET(ORÇAMENTO!$X$15,ROW(AQ39)-ROW(AQ$15),0),
ROUND(ROUND(OFFSET($P39,0,AQ$13),15-13*ORÇAMENTO!$AF$7)*OFFSET(ORÇAMENTO!$W$15,ROW(AQ39)-ROW(AQ$15),0),15-13*ORÇAMENTO!$AF$11)),0)</f>
        <v>0</v>
      </c>
      <c r="AR39" s="631">
        <f ca="1">IF(AND($D39="Serviço",AR$12&lt;&gt;0,$H39&gt;0,OR(AUTOEVENTO&lt;&gt;"manual",$M39&lt;&gt;1)),
IF(Import.TipoArredondamento&lt;&gt;"TransfereGOV",
ROUND(OFFSET($P39,0,AR$13),15-13*ORÇAMENTO!$AF$7)/$H39*OFFSET(ORÇAMENTO!$X$15,ROW(AR39)-ROW(AR$15),0),
ROUND(ROUND(OFFSET($P39,0,AR$13),15-13*ORÇAMENTO!$AF$7)*OFFSET(ORÇAMENTO!$W$15,ROW(AR39)-ROW(AR$15),0),15-13*ORÇAMENTO!$AF$11)),0)</f>
        <v>0</v>
      </c>
      <c r="AS39" s="632">
        <f ca="1">IF(AND($D39="Serviço",AS$12&lt;&gt;0,$H39&gt;0,OR(AUTOEVENTO&lt;&gt;"manual",$M39&lt;&gt;1)),
IF(Import.TipoArredondamento&lt;&gt;"TransfereGOV",
ROUND(OFFSET($P39,0,AS$13),15-13*ORÇAMENTO!$AF$7)/$H39*OFFSET(ORÇAMENTO!$X$15,ROW(AS39)-ROW(AS$15),0),
ROUND(ROUND(OFFSET($P39,0,AS$13),15-13*ORÇAMENTO!$AF$7)*OFFSET(ORÇAMENTO!$W$15,ROW(AS39)-ROW(AS$15),0),15-13*ORÇAMENTO!$AF$11)),0)</f>
        <v>0</v>
      </c>
      <c r="AT39" s="631">
        <f ca="1">IF(AND($D39="Serviço",AT$12&lt;&gt;0,$H39&gt;0,OR(AUTOEVENTO&lt;&gt;"manual",$M39&lt;&gt;1)),
IF(Import.TipoArredondamento&lt;&gt;"TransfereGOV",
ROUND(OFFSET($P39,0,AT$13),15-13*ORÇAMENTO!$AF$7)/$H39*OFFSET(ORÇAMENTO!$X$15,ROW(AT39)-ROW(AT$15),0),
ROUND(ROUND(OFFSET($P39,0,AT$13),15-13*ORÇAMENTO!$AF$7)*OFFSET(ORÇAMENTO!$W$15,ROW(AT39)-ROW(AT$15),0),15-13*ORÇAMENTO!$AF$11)),0)</f>
        <v>0</v>
      </c>
      <c r="AU39" s="631">
        <f ca="1">IF(AND($D39="Serviço",AU$12&lt;&gt;0,$H39&gt;0,OR(AUTOEVENTO&lt;&gt;"manual",$M39&lt;&gt;1)),
IF(Import.TipoArredondamento&lt;&gt;"TransfereGOV",
ROUND(OFFSET($P39,0,AU$13),15-13*ORÇAMENTO!$AF$7)/$H39*OFFSET(ORÇAMENTO!$X$15,ROW(AU39)-ROW(AU$15),0),
ROUND(ROUND(OFFSET($P39,0,AU$13),15-13*ORÇAMENTO!$AF$7)*OFFSET(ORÇAMENTO!$W$15,ROW(AU39)-ROW(AU$15),0),15-13*ORÇAMENTO!$AF$11)),0)</f>
        <v>0</v>
      </c>
      <c r="AV39" s="631">
        <f ca="1">IF(AND($D39="Serviço",AV$12&lt;&gt;0,$H39&gt;0,OR(AUTOEVENTO&lt;&gt;"manual",$M39&lt;&gt;1)),
IF(Import.TipoArredondamento&lt;&gt;"TransfereGOV",
ROUND(OFFSET($P39,0,AV$13),15-13*ORÇAMENTO!$AF$7)/$H39*OFFSET(ORÇAMENTO!$X$15,ROW(AV39)-ROW(AV$15),0),
ROUND(ROUND(OFFSET($P39,0,AV$13),15-13*ORÇAMENTO!$AF$7)*OFFSET(ORÇAMENTO!$W$15,ROW(AV39)-ROW(AV$15),0),15-13*ORÇAMENTO!$AF$11)),0)</f>
        <v>0</v>
      </c>
      <c r="AW39" s="631">
        <f ca="1">IF(AND($D39="Serviço",AW$12&lt;&gt;0,$H39&gt;0,OR(AUTOEVENTO&lt;&gt;"manual",$M39&lt;&gt;1)),
IF(Import.TipoArredondamento&lt;&gt;"TransfereGOV",
ROUND(OFFSET($P39,0,AW$13),15-13*ORÇAMENTO!$AF$7)/$H39*OFFSET(ORÇAMENTO!$X$15,ROW(AW39)-ROW(AW$15),0),
ROUND(ROUND(OFFSET($P39,0,AW$13),15-13*ORÇAMENTO!$AF$7)*OFFSET(ORÇAMENTO!$W$15,ROW(AW39)-ROW(AW$15),0),15-13*ORÇAMENTO!$AF$11)),0)</f>
        <v>0</v>
      </c>
      <c r="AX39" s="631">
        <f ca="1">IF(AND($D39="Serviço",AX$12&lt;&gt;0,$H39&gt;0,OR(AUTOEVENTO&lt;&gt;"manual",$M39&lt;&gt;1)),
IF(Import.TipoArredondamento&lt;&gt;"TransfereGOV",
ROUND(OFFSET($P39,0,AX$13),15-13*ORÇAMENTO!$AF$7)/$H39*OFFSET(ORÇAMENTO!$X$15,ROW(AX39)-ROW(AX$15),0),
ROUND(ROUND(OFFSET($P39,0,AX$13),15-13*ORÇAMENTO!$AF$7)*OFFSET(ORÇAMENTO!$W$15,ROW(AX39)-ROW(AX$15),0),15-13*ORÇAMENTO!$AF$11)),0)</f>
        <v>0</v>
      </c>
      <c r="AY39" s="631">
        <f ca="1">IF(AND($D39="Serviço",AY$12&lt;&gt;0,$H39&gt;0,OR(AUTOEVENTO&lt;&gt;"manual",$M39&lt;&gt;1)),
IF(Import.TipoArredondamento&lt;&gt;"TransfereGOV",
ROUND(OFFSET($P39,0,AY$13),15-13*ORÇAMENTO!$AF$7)/$H39*OFFSET(ORÇAMENTO!$X$15,ROW(AY39)-ROW(AY$15),0),
ROUND(ROUND(OFFSET($P39,0,AY$13),15-13*ORÇAMENTO!$AF$7)*OFFSET(ORÇAMENTO!$W$15,ROW(AY39)-ROW(AY$15),0),15-13*ORÇAMENTO!$AF$11)),0)</f>
        <v>0</v>
      </c>
      <c r="AZ39" s="631">
        <f ca="1">IF(AND($D39="Serviço",AZ$12&lt;&gt;0,$H39&gt;0,OR(AUTOEVENTO&lt;&gt;"manual",$M39&lt;&gt;1)),
IF(Import.TipoArredondamento&lt;&gt;"TransfereGOV",
ROUND(OFFSET($P39,0,AZ$13),15-13*ORÇAMENTO!$AF$7)/$H39*OFFSET(ORÇAMENTO!$X$15,ROW(AZ39)-ROW(AZ$15),0),
ROUND(ROUND(OFFSET($P39,0,AZ$13),15-13*ORÇAMENTO!$AF$7)*OFFSET(ORÇAMENTO!$W$15,ROW(AZ39)-ROW(AZ$15),0),15-13*ORÇAMENTO!$AF$11)),0)</f>
        <v>0</v>
      </c>
      <c r="BA39" s="632">
        <f ca="1">IF(AND($D39="Serviço",BA$12&lt;&gt;0,$H39&gt;0,OR(AUTOEVENTO&lt;&gt;"manual",$M39&lt;&gt;1)),
IF(Import.TipoArredondamento&lt;&gt;"TransfereGOV",
ROUND(OFFSET($P39,0,BA$13),15-13*ORÇAMENTO!$AF$7)/$H39*OFFSET(ORÇAMENTO!$X$15,ROW(BA39)-ROW(BA$15),0),
ROUND(ROUND(OFFSET($P39,0,BA$13),15-13*ORÇAMENTO!$AF$7)*OFFSET(ORÇAMENTO!$W$15,ROW(BA39)-ROW(BA$15),0),15-13*ORÇAMENTO!$AF$11)),0)</f>
        <v>0</v>
      </c>
      <c r="BC39" s="216">
        <f ca="1">IF($D39&lt;&gt;"Serviço",0,IF(AND(AUTOEVENTO="Manual",$M39=1),0,IF(OFFSET(CRONOPLE!$F$14,$M39,BC$13)="",10^12,OFFSET(CRONOPLE!$F$14,$M39,BC$13))))</f>
        <v>0</v>
      </c>
      <c r="BD39" s="216">
        <f ca="1">IF($D39&lt;&gt;"Serviço",0,IF(AND(AUTOEVENTO="Manual",$M39=1),0,IF(OFFSET(CRONOPLE!$F$14,$M39,BD$13)="",10^12,OFFSET(CRONOPLE!$F$14,$M39,BD$13))))</f>
        <v>0</v>
      </c>
      <c r="BE39" s="216">
        <f ca="1">IF($D39&lt;&gt;"Serviço",0,IF(AND(AUTOEVENTO="Manual",$M39=1),0,IF(OFFSET(CRONOPLE!$F$14,$M39,BE$13)="",10^12,OFFSET(CRONOPLE!$F$14,$M39,BE$13))))</f>
        <v>0</v>
      </c>
      <c r="BF39" s="216">
        <f ca="1">IF($D39&lt;&gt;"Serviço",0,IF(AND(AUTOEVENTO="Manual",$M39=1),0,IF(OFFSET(CRONOPLE!$F$14,$M39,BF$13)="",10^12,OFFSET(CRONOPLE!$F$14,$M39,BF$13))))</f>
        <v>0</v>
      </c>
      <c r="BG39" s="216">
        <f ca="1">IF($D39&lt;&gt;"Serviço",0,IF(AND(AUTOEVENTO="Manual",$M39=1),0,IF(OFFSET(CRONOPLE!$F$14,$M39,BG$13)="",10^12,OFFSET(CRONOPLE!$F$14,$M39,BG$13))))</f>
        <v>0</v>
      </c>
      <c r="BH39" s="216">
        <f ca="1">IF($D39&lt;&gt;"Serviço",0,IF(AND(AUTOEVENTO="Manual",$M39=1),0,IF(OFFSET(CRONOPLE!$F$14,$M39,BH$13)="",10^12,OFFSET(CRONOPLE!$F$14,$M39,BH$13))))</f>
        <v>0</v>
      </c>
      <c r="BI39" s="216">
        <f ca="1">IF($D39&lt;&gt;"Serviço",0,IF(AND(AUTOEVENTO="Manual",$M39=1),0,IF(OFFSET(CRONOPLE!$F$14,$M39,BI$13)="",10^12,OFFSET(CRONOPLE!$F$14,$M39,BI$13))))</f>
        <v>0</v>
      </c>
      <c r="BJ39" s="216">
        <f ca="1">IF($D39&lt;&gt;"Serviço",0,IF(AND(AUTOEVENTO="Manual",$M39=1),0,IF(OFFSET(CRONOPLE!$F$14,$M39,BJ$13)="",10^12,OFFSET(CRONOPLE!$F$14,$M39,BJ$13))))</f>
        <v>0</v>
      </c>
      <c r="BK39" s="216">
        <f ca="1">IF($D39&lt;&gt;"Serviço",0,IF(AND(AUTOEVENTO="Manual",$M39=1),0,IF(OFFSET(CRONOPLE!$F$14,$M39,BK$13)="",10^12,OFFSET(CRONOPLE!$F$14,$M39,BK$13))))</f>
        <v>0</v>
      </c>
      <c r="BL39" s="216">
        <f ca="1">IF($D39&lt;&gt;"Serviço",0,IF(AND(AUTOEVENTO="Manual",$M39=1),0,IF(OFFSET(CRONOPLE!$F$14,$M39,BL$13)="",10^12,OFFSET(CRONOPLE!$F$14,$M39,BL$13))))</f>
        <v>0</v>
      </c>
      <c r="BM39" s="216">
        <f ca="1">IF($D39&lt;&gt;"Serviço",0,IF(AND(AUTOEVENTO="Manual",$M39=1),0,IF(OFFSET(CRONOPLE!$F$14,$M39,BM$13)="",10^12,OFFSET(CRONOPLE!$F$14,$M39,BM$13))))</f>
        <v>0</v>
      </c>
      <c r="BN39" s="216">
        <f ca="1">IF($D39&lt;&gt;"Serviço",0,IF(AND(AUTOEVENTO="Manual",$M39=1),0,IF(OFFSET(CRONOPLE!$F$14,$M39,BN$13)="",10^12,OFFSET(CRONOPLE!$F$14,$M39,BN$13))))</f>
        <v>0</v>
      </c>
      <c r="BO39" s="216">
        <f ca="1">IF($D39&lt;&gt;"Serviço",0,IF(AND(AUTOEVENTO="Manual",$M39=1),0,IF(OFFSET(CRONOPLE!$F$14,$M39,BO$13)="",10^12,OFFSET(CRONOPLE!$F$14,$M39,BO$13))))</f>
        <v>0</v>
      </c>
      <c r="BP39" s="216">
        <f ca="1">IF($D39&lt;&gt;"Serviço",0,IF(AND(AUTOEVENTO="Manual",$M39=1),0,IF(OFFSET(CRONOPLE!$F$14,$M39,BP$13)="",10^12,OFFSET(CRONOPLE!$F$14,$M39,BP$13))))</f>
        <v>0</v>
      </c>
      <c r="BQ39" s="216">
        <f ca="1">IF($D39&lt;&gt;"Serviço",0,IF(AND(AUTOEVENTO="Manual",$M39=1),0,IF(OFFSET(CRONOPLE!$F$14,$M39,BQ$13)="",10^12,OFFSET(CRONOPLE!$F$14,$M39,BQ$13))))</f>
        <v>0</v>
      </c>
      <c r="BR39" s="216">
        <f ca="1">IF($D39&lt;&gt;"Serviço",0,IF(AND(AUTOEVENTO="Manual",$M39=1),0,IF(OFFSET(CRONOPLE!$F$14,$M39,BR$13)="",10^12,OFFSET(CRONOPLE!$F$14,$M39,BR$13))))</f>
        <v>0</v>
      </c>
      <c r="BS39" s="216">
        <f ca="1">IF($D39&lt;&gt;"Serviço",0,IF(AND(AUTOEVENTO="Manual",$M39=1),0,IF(OFFSET(CRONOPLE!$F$14,$M39,BS$13)="",10^12,OFFSET(CRONOPLE!$F$14,$M39,BS$13))))</f>
        <v>0</v>
      </c>
      <c r="BT39" s="216">
        <f ca="1">IF($D39&lt;&gt;"Serviço",0,IF(AND(AUTOEVENTO="Manual",$M39=1),0,IF(OFFSET(CRONOPLE!$F$14,$M39,BT$13)="",10^12,OFFSET(CRONOPLE!$F$14,$M39,BT$13))))</f>
        <v>0</v>
      </c>
      <c r="BV39" s="217">
        <f ca="1">IF($D39&lt;&gt;"Serviço",0,IF(OR(AND(AUTOEVENTO="Manual",$M39=1),$M39&gt;(ROW(PLE.lastrow)-ROW(PLE.firstrow))),0,IF(OFFSET(PLE!$G$14,$M39,BV$13)="",10^12,OFFSET(PLE!$G$14,$M39,BV$13))))</f>
        <v>0</v>
      </c>
      <c r="BW39" s="217">
        <f ca="1">IF($D39&lt;&gt;"Serviço",0,IF(OR(AND(AUTOEVENTO="Manual",$M39=1),$M39&gt;(ROW(PLE.lastrow)-ROW(PLE.firstrow))),0,IF(OFFSET(PLE!$G$14,$M39,BW$13)="",10^12,OFFSET(PLE!$G$14,$M39,BW$13))))</f>
        <v>0</v>
      </c>
      <c r="BX39" s="217">
        <f ca="1">IF($D39&lt;&gt;"Serviço",0,IF(OR(AND(AUTOEVENTO="Manual",$M39=1),$M39&gt;(ROW(PLE.lastrow)-ROW(PLE.firstrow))),0,IF(OFFSET(PLE!$G$14,$M39,BX$13)="",10^12,OFFSET(PLE!$G$14,$M39,BX$13))))</f>
        <v>0</v>
      </c>
      <c r="BY39" s="217">
        <f ca="1">IF($D39&lt;&gt;"Serviço",0,IF(OR(AND(AUTOEVENTO="Manual",$M39=1),$M39&gt;(ROW(PLE.lastrow)-ROW(PLE.firstrow))),0,IF(OFFSET(PLE!$G$14,$M39,BY$13)="",10^12,OFFSET(PLE!$G$14,$M39,BY$13))))</f>
        <v>0</v>
      </c>
      <c r="BZ39" s="217">
        <f ca="1">IF($D39&lt;&gt;"Serviço",0,IF(OR(AND(AUTOEVENTO="Manual",$M39=1),$M39&gt;(ROW(PLE.lastrow)-ROW(PLE.firstrow))),0,IF(OFFSET(PLE!$G$14,$M39,BZ$13)="",10^12,OFFSET(PLE!$G$14,$M39,BZ$13))))</f>
        <v>0</v>
      </c>
      <c r="CA39" s="217">
        <f ca="1">IF($D39&lt;&gt;"Serviço",0,IF(OR(AND(AUTOEVENTO="Manual",$M39=1),$M39&gt;(ROW(PLE.lastrow)-ROW(PLE.firstrow))),0,IF(OFFSET(PLE!$G$14,$M39,CA$13)="",10^12,OFFSET(PLE!$G$14,$M39,CA$13))))</f>
        <v>0</v>
      </c>
      <c r="CB39" s="217">
        <f ca="1">IF($D39&lt;&gt;"Serviço",0,IF(OR(AND(AUTOEVENTO="Manual",$M39=1),$M39&gt;(ROW(PLE.lastrow)-ROW(PLE.firstrow))),0,IF(OFFSET(PLE!$G$14,$M39,CB$13)="",10^12,OFFSET(PLE!$G$14,$M39,CB$13))))</f>
        <v>0</v>
      </c>
      <c r="CC39" s="217">
        <f ca="1">IF($D39&lt;&gt;"Serviço",0,IF(OR(AND(AUTOEVENTO="Manual",$M39=1),$M39&gt;(ROW(PLE.lastrow)-ROW(PLE.firstrow))),0,IF(OFFSET(PLE!$G$14,$M39,CC$13)="",10^12,OFFSET(PLE!$G$14,$M39,CC$13))))</f>
        <v>0</v>
      </c>
      <c r="CD39" s="217">
        <f ca="1">IF($D39&lt;&gt;"Serviço",0,IF(OR(AND(AUTOEVENTO="Manual",$M39=1),$M39&gt;(ROW(PLE.lastrow)-ROW(PLE.firstrow))),0,IF(OFFSET(PLE!$G$14,$M39,CD$13)="",10^12,OFFSET(PLE!$G$14,$M39,CD$13))))</f>
        <v>0</v>
      </c>
      <c r="CE39" s="217">
        <f ca="1">IF($D39&lt;&gt;"Serviço",0,IF(OR(AND(AUTOEVENTO="Manual",$M39=1),$M39&gt;(ROW(PLE.lastrow)-ROW(PLE.firstrow))),0,IF(OFFSET(PLE!$G$14,$M39,CE$13)="",10^12,OFFSET(PLE!$G$14,$M39,CE$13))))</f>
        <v>0</v>
      </c>
      <c r="CF39" s="217">
        <f ca="1">IF($D39&lt;&gt;"Serviço",0,IF(OR(AND(AUTOEVENTO="Manual",$M39=1),$M39&gt;(ROW(PLE.lastrow)-ROW(PLE.firstrow))),0,IF(OFFSET(PLE!$G$14,$M39,CF$13)="",10^12,OFFSET(PLE!$G$14,$M39,CF$13))))</f>
        <v>0</v>
      </c>
      <c r="CG39" s="217">
        <f ca="1">IF($D39&lt;&gt;"Serviço",0,IF(OR(AND(AUTOEVENTO="Manual",$M39=1),$M39&gt;(ROW(PLE.lastrow)-ROW(PLE.firstrow))),0,IF(OFFSET(PLE!$G$14,$M39,CG$13)="",10^12,OFFSET(PLE!$G$14,$M39,CG$13))))</f>
        <v>0</v>
      </c>
      <c r="CH39" s="217">
        <f ca="1">IF($D39&lt;&gt;"Serviço",0,IF(OR(AND(AUTOEVENTO="Manual",$M39=1),$M39&gt;(ROW(PLE.lastrow)-ROW(PLE.firstrow))),0,IF(OFFSET(PLE!$G$14,$M39,CH$13)="",10^12,OFFSET(PLE!$G$14,$M39,CH$13))))</f>
        <v>0</v>
      </c>
      <c r="CI39" s="217">
        <f ca="1">IF($D39&lt;&gt;"Serviço",0,IF(OR(AND(AUTOEVENTO="Manual",$M39=1),$M39&gt;(ROW(PLE.lastrow)-ROW(PLE.firstrow))),0,IF(OFFSET(PLE!$G$14,$M39,CI$13)="",10^12,OFFSET(PLE!$G$14,$M39,CI$13))))</f>
        <v>0</v>
      </c>
      <c r="CJ39" s="217">
        <f ca="1">IF($D39&lt;&gt;"Serviço",0,IF(OR(AND(AUTOEVENTO="Manual",$M39=1),$M39&gt;(ROW(PLE.lastrow)-ROW(PLE.firstrow))),0,IF(OFFSET(PLE!$G$14,$M39,CJ$13)="",10^12,OFFSET(PLE!$G$14,$M39,CJ$13))))</f>
        <v>0</v>
      </c>
      <c r="CK39" s="217">
        <f ca="1">IF($D39&lt;&gt;"Serviço",0,IF(OR(AND(AUTOEVENTO="Manual",$M39=1),$M39&gt;(ROW(PLE.lastrow)-ROW(PLE.firstrow))),0,IF(OFFSET(PLE!$G$14,$M39,CK$13)="",10^12,OFFSET(PLE!$G$14,$M39,CK$13))))</f>
        <v>0</v>
      </c>
      <c r="CL39" s="217">
        <f ca="1">IF($D39&lt;&gt;"Serviço",0,IF(OR(AND(AUTOEVENTO="Manual",$M39=1),$M39&gt;(ROW(PLE.lastrow)-ROW(PLE.firstrow))),0,IF(OFFSET(PLE!$G$14,$M39,CL$13)="",10^12,OFFSET(PLE!$G$14,$M39,CL$13))))</f>
        <v>0</v>
      </c>
      <c r="CM39" s="217">
        <f ca="1">IF($D39&lt;&gt;"Serviço",0,IF(OR(AND(AUTOEVENTO="Manual",$M39=1),$M39&gt;(ROW(PLE.lastrow)-ROW(PLE.firstrow))),0,IF(OFFSET(PLE!$G$14,$M39,CM$13)="",10^12,OFFSET(PLE!$G$14,$M39,CM$13))))</f>
        <v>0</v>
      </c>
    </row>
    <row r="40" spans="1:91" ht="25.5" x14ac:dyDescent="0.2">
      <c r="A40" s="9" t="str">
        <f t="shared" ca="1" si="9"/>
        <v>24</v>
      </c>
      <c r="B40" s="9" t="str">
        <f ca="1">OFFSET(ORÇAMENTO!C$15,ROW(B40)-ROW(B$15),0)</f>
        <v>S</v>
      </c>
      <c r="C40" s="9" t="str">
        <f ca="1">OFFSET(ORÇAMENTO!L$15,ROW(C40)-ROW(C$15),0)</f>
        <v/>
      </c>
      <c r="D40" s="146" t="str">
        <f ca="1">OFFSET(ORÇAMENTO!N$15,ROW(D40)-ROW(D$15),0)</f>
        <v>Serviço</v>
      </c>
      <c r="E40" s="206" t="str">
        <f ca="1">OFFSET(ORÇAMENTO!O$15,ROW(E40)-ROW(E$15),0)</f>
        <v>-</v>
      </c>
      <c r="F40" s="207" t="str">
        <f ca="1">OFFSET(ORÇAMENTO!R$15,ROW(F40)-ROW(F$15),0)</f>
        <v>(abra o arquivo 'Referência 12-2023.xlsm)</v>
      </c>
      <c r="G40" s="208" t="str">
        <f ca="1">IF($D40&lt;&gt;"Serviço","",OFFSET(ORÇAMENTO!S$15,ROW(G40)-ROW(G$15),0))</f>
        <v>-</v>
      </c>
      <c r="H40" s="152">
        <f ca="1">IF($D40&lt;&gt;"Serviço",0,IF(ACOMPANHAMENTO="BM",ROUND(OFFSET(ORÇAMENTO!AJ$15,ROW(H40)-ROW(H$15),0),15-13*ORÇAMENTO!$AF$7),SUMPRODUCT(($Q$12:$AI$12&lt;&gt;"")*ROUND($Q40:$AI40,15-13*ORÇAMENTO!$AF$7))))</f>
        <v>8467.1200000000008</v>
      </c>
      <c r="I40" s="649" t="s">
        <v>504</v>
      </c>
      <c r="K40" s="209"/>
      <c r="L40" s="210" t="s">
        <v>255</v>
      </c>
      <c r="M40" s="211">
        <f ca="1">IF($D40&lt;&gt;"Serviço","",IF(AUTOEVENTO="manual",$A40,IF(ISERROR(MATCH($A40,$A$15:OFFSET($A40,-1,0),0)),MAX($M$15:OFFSET(M40,-1,0))+1,INDEX($M$15:OFFSET(M40,-1,0),MATCH($A40,$A$15:OFFSET($A40,-1,0),0)))))</f>
        <v>7</v>
      </c>
      <c r="N40" s="212" t="str">
        <f ca="1">IF($D40&lt;&gt;"Serviço","",IF(AUTOEVENTO="Manual",IF($A40=0,"&lt;-- defina o número do agrupador",OFFSET(EVENTOS!$D$14,$A40,0)),OFFSET($F$15,$A40,0)))</f>
        <v xml:space="preserve">MEIO-FIO E DRENAGEM </v>
      </c>
      <c r="O40" s="213"/>
      <c r="Q40" s="213">
        <v>156.81</v>
      </c>
      <c r="R40" s="214">
        <v>763.41</v>
      </c>
      <c r="S40" s="214">
        <v>514.74</v>
      </c>
      <c r="T40" s="214">
        <v>1124.6300000000001</v>
      </c>
      <c r="U40" s="214">
        <v>2102.0700000000002</v>
      </c>
      <c r="V40" s="214">
        <v>130.59</v>
      </c>
      <c r="W40" s="214">
        <v>134.16999999999999</v>
      </c>
      <c r="X40" s="214">
        <v>1114.1500000000001</v>
      </c>
      <c r="Y40" s="215">
        <v>435.18</v>
      </c>
      <c r="Z40" s="214">
        <v>1148.25</v>
      </c>
      <c r="AA40" s="214">
        <v>766.94</v>
      </c>
      <c r="AB40" s="214">
        <v>76.180000000000007</v>
      </c>
      <c r="AC40" s="214"/>
      <c r="AD40" s="214"/>
      <c r="AE40" s="214"/>
      <c r="AF40" s="214"/>
      <c r="AG40" s="214"/>
      <c r="AH40" s="215"/>
      <c r="AJ40" s="630">
        <f ca="1">IF(AND($D40="Serviço",AJ$12&lt;&gt;0,$H40&gt;0,OR(AUTOEVENTO&lt;&gt;"manual",$M40&lt;&gt;1)),
IF(Import.TipoArredondamento&lt;&gt;"TransfereGOV",
ROUND(OFFSET($P40,0,AJ$13),15-13*ORÇAMENTO!$AF$7)/$H40*OFFSET(ORÇAMENTO!$X$15,ROW(AJ40)-ROW(AJ$15),0),
ROUND(ROUND(OFFSET($P40,0,AJ$13),15-13*ORÇAMENTO!$AF$7)*OFFSET(ORÇAMENTO!$W$15,ROW(AJ40)-ROW(AJ$15),0),15-13*ORÇAMENTO!$AF$11)),0)</f>
        <v>0</v>
      </c>
      <c r="AK40" s="631">
        <f ca="1">IF(AND($D40="Serviço",AK$12&lt;&gt;0,$H40&gt;0,OR(AUTOEVENTO&lt;&gt;"manual",$M40&lt;&gt;1)),
IF(Import.TipoArredondamento&lt;&gt;"TransfereGOV",
ROUND(OFFSET($P40,0,AK$13),15-13*ORÇAMENTO!$AF$7)/$H40*OFFSET(ORÇAMENTO!$X$15,ROW(AK40)-ROW(AK$15),0),
ROUND(ROUND(OFFSET($P40,0,AK$13),15-13*ORÇAMENTO!$AF$7)*OFFSET(ORÇAMENTO!$W$15,ROW(AK40)-ROW(AK$15),0),15-13*ORÇAMENTO!$AF$11)),0)</f>
        <v>0</v>
      </c>
      <c r="AL40" s="631">
        <f ca="1">IF(AND($D40="Serviço",AL$12&lt;&gt;0,$H40&gt;0,OR(AUTOEVENTO&lt;&gt;"manual",$M40&lt;&gt;1)),
IF(Import.TipoArredondamento&lt;&gt;"TransfereGOV",
ROUND(OFFSET($P40,0,AL$13),15-13*ORÇAMENTO!$AF$7)/$H40*OFFSET(ORÇAMENTO!$X$15,ROW(AL40)-ROW(AL$15),0),
ROUND(ROUND(OFFSET($P40,0,AL$13),15-13*ORÇAMENTO!$AF$7)*OFFSET(ORÇAMENTO!$W$15,ROW(AL40)-ROW(AL$15),0),15-13*ORÇAMENTO!$AF$11)),0)</f>
        <v>0</v>
      </c>
      <c r="AM40" s="631">
        <f ca="1">IF(AND($D40="Serviço",AM$12&lt;&gt;0,$H40&gt;0,OR(AUTOEVENTO&lt;&gt;"manual",$M40&lt;&gt;1)),
IF(Import.TipoArredondamento&lt;&gt;"TransfereGOV",
ROUND(OFFSET($P40,0,AM$13),15-13*ORÇAMENTO!$AF$7)/$H40*OFFSET(ORÇAMENTO!$X$15,ROW(AM40)-ROW(AM$15),0),
ROUND(ROUND(OFFSET($P40,0,AM$13),15-13*ORÇAMENTO!$AF$7)*OFFSET(ORÇAMENTO!$W$15,ROW(AM40)-ROW(AM$15),0),15-13*ORÇAMENTO!$AF$11)),0)</f>
        <v>0</v>
      </c>
      <c r="AN40" s="631">
        <f ca="1">IF(AND($D40="Serviço",AN$12&lt;&gt;0,$H40&gt;0,OR(AUTOEVENTO&lt;&gt;"manual",$M40&lt;&gt;1)),
IF(Import.TipoArredondamento&lt;&gt;"TransfereGOV",
ROUND(OFFSET($P40,0,AN$13),15-13*ORÇAMENTO!$AF$7)/$H40*OFFSET(ORÇAMENTO!$X$15,ROW(AN40)-ROW(AN$15),0),
ROUND(ROUND(OFFSET($P40,0,AN$13),15-13*ORÇAMENTO!$AF$7)*OFFSET(ORÇAMENTO!$W$15,ROW(AN40)-ROW(AN$15),0),15-13*ORÇAMENTO!$AF$11)),0)</f>
        <v>0</v>
      </c>
      <c r="AO40" s="631">
        <f ca="1">IF(AND($D40="Serviço",AO$12&lt;&gt;0,$H40&gt;0,OR(AUTOEVENTO&lt;&gt;"manual",$M40&lt;&gt;1)),
IF(Import.TipoArredondamento&lt;&gt;"TransfereGOV",
ROUND(OFFSET($P40,0,AO$13),15-13*ORÇAMENTO!$AF$7)/$H40*OFFSET(ORÇAMENTO!$X$15,ROW(AO40)-ROW(AO$15),0),
ROUND(ROUND(OFFSET($P40,0,AO$13),15-13*ORÇAMENTO!$AF$7)*OFFSET(ORÇAMENTO!$W$15,ROW(AO40)-ROW(AO$15),0),15-13*ORÇAMENTO!$AF$11)),0)</f>
        <v>0</v>
      </c>
      <c r="AP40" s="631">
        <f ca="1">IF(AND($D40="Serviço",AP$12&lt;&gt;0,$H40&gt;0,OR(AUTOEVENTO&lt;&gt;"manual",$M40&lt;&gt;1)),
IF(Import.TipoArredondamento&lt;&gt;"TransfereGOV",
ROUND(OFFSET($P40,0,AP$13),15-13*ORÇAMENTO!$AF$7)/$H40*OFFSET(ORÇAMENTO!$X$15,ROW(AP40)-ROW(AP$15),0),
ROUND(ROUND(OFFSET($P40,0,AP$13),15-13*ORÇAMENTO!$AF$7)*OFFSET(ORÇAMENTO!$W$15,ROW(AP40)-ROW(AP$15),0),15-13*ORÇAMENTO!$AF$11)),0)</f>
        <v>0</v>
      </c>
      <c r="AQ40" s="631">
        <f ca="1">IF(AND($D40="Serviço",AQ$12&lt;&gt;0,$H40&gt;0,OR(AUTOEVENTO&lt;&gt;"manual",$M40&lt;&gt;1)),
IF(Import.TipoArredondamento&lt;&gt;"TransfereGOV",
ROUND(OFFSET($P40,0,AQ$13),15-13*ORÇAMENTO!$AF$7)/$H40*OFFSET(ORÇAMENTO!$X$15,ROW(AQ40)-ROW(AQ$15),0),
ROUND(ROUND(OFFSET($P40,0,AQ$13),15-13*ORÇAMENTO!$AF$7)*OFFSET(ORÇAMENTO!$W$15,ROW(AQ40)-ROW(AQ$15),0),15-13*ORÇAMENTO!$AF$11)),0)</f>
        <v>0</v>
      </c>
      <c r="AR40" s="631">
        <f ca="1">IF(AND($D40="Serviço",AR$12&lt;&gt;0,$H40&gt;0,OR(AUTOEVENTO&lt;&gt;"manual",$M40&lt;&gt;1)),
IF(Import.TipoArredondamento&lt;&gt;"TransfereGOV",
ROUND(OFFSET($P40,0,AR$13),15-13*ORÇAMENTO!$AF$7)/$H40*OFFSET(ORÇAMENTO!$X$15,ROW(AR40)-ROW(AR$15),0),
ROUND(ROUND(OFFSET($P40,0,AR$13),15-13*ORÇAMENTO!$AF$7)*OFFSET(ORÇAMENTO!$W$15,ROW(AR40)-ROW(AR$15),0),15-13*ORÇAMENTO!$AF$11)),0)</f>
        <v>0</v>
      </c>
      <c r="AS40" s="632">
        <f ca="1">IF(AND($D40="Serviço",AS$12&lt;&gt;0,$H40&gt;0,OR(AUTOEVENTO&lt;&gt;"manual",$M40&lt;&gt;1)),
IF(Import.TipoArredondamento&lt;&gt;"TransfereGOV",
ROUND(OFFSET($P40,0,AS$13),15-13*ORÇAMENTO!$AF$7)/$H40*OFFSET(ORÇAMENTO!$X$15,ROW(AS40)-ROW(AS$15),0),
ROUND(ROUND(OFFSET($P40,0,AS$13),15-13*ORÇAMENTO!$AF$7)*OFFSET(ORÇAMENTO!$W$15,ROW(AS40)-ROW(AS$15),0),15-13*ORÇAMENTO!$AF$11)),0)</f>
        <v>0</v>
      </c>
      <c r="AT40" s="631">
        <f ca="1">IF(AND($D40="Serviço",AT$12&lt;&gt;0,$H40&gt;0,OR(AUTOEVENTO&lt;&gt;"manual",$M40&lt;&gt;1)),
IF(Import.TipoArredondamento&lt;&gt;"TransfereGOV",
ROUND(OFFSET($P40,0,AT$13),15-13*ORÇAMENTO!$AF$7)/$H40*OFFSET(ORÇAMENTO!$X$15,ROW(AT40)-ROW(AT$15),0),
ROUND(ROUND(OFFSET($P40,0,AT$13),15-13*ORÇAMENTO!$AF$7)*OFFSET(ORÇAMENTO!$W$15,ROW(AT40)-ROW(AT$15),0),15-13*ORÇAMENTO!$AF$11)),0)</f>
        <v>0</v>
      </c>
      <c r="AU40" s="631">
        <f ca="1">IF(AND($D40="Serviço",AU$12&lt;&gt;0,$H40&gt;0,OR(AUTOEVENTO&lt;&gt;"manual",$M40&lt;&gt;1)),
IF(Import.TipoArredondamento&lt;&gt;"TransfereGOV",
ROUND(OFFSET($P40,0,AU$13),15-13*ORÇAMENTO!$AF$7)/$H40*OFFSET(ORÇAMENTO!$X$15,ROW(AU40)-ROW(AU$15),0),
ROUND(ROUND(OFFSET($P40,0,AU$13),15-13*ORÇAMENTO!$AF$7)*OFFSET(ORÇAMENTO!$W$15,ROW(AU40)-ROW(AU$15),0),15-13*ORÇAMENTO!$AF$11)),0)</f>
        <v>0</v>
      </c>
      <c r="AV40" s="631">
        <f ca="1">IF(AND($D40="Serviço",AV$12&lt;&gt;0,$H40&gt;0,OR(AUTOEVENTO&lt;&gt;"manual",$M40&lt;&gt;1)),
IF(Import.TipoArredondamento&lt;&gt;"TransfereGOV",
ROUND(OFFSET($P40,0,AV$13),15-13*ORÇAMENTO!$AF$7)/$H40*OFFSET(ORÇAMENTO!$X$15,ROW(AV40)-ROW(AV$15),0),
ROUND(ROUND(OFFSET($P40,0,AV$13),15-13*ORÇAMENTO!$AF$7)*OFFSET(ORÇAMENTO!$W$15,ROW(AV40)-ROW(AV$15),0),15-13*ORÇAMENTO!$AF$11)),0)</f>
        <v>0</v>
      </c>
      <c r="AW40" s="631">
        <f ca="1">IF(AND($D40="Serviço",AW$12&lt;&gt;0,$H40&gt;0,OR(AUTOEVENTO&lt;&gt;"manual",$M40&lt;&gt;1)),
IF(Import.TipoArredondamento&lt;&gt;"TransfereGOV",
ROUND(OFFSET($P40,0,AW$13),15-13*ORÇAMENTO!$AF$7)/$H40*OFFSET(ORÇAMENTO!$X$15,ROW(AW40)-ROW(AW$15),0),
ROUND(ROUND(OFFSET($P40,0,AW$13),15-13*ORÇAMENTO!$AF$7)*OFFSET(ORÇAMENTO!$W$15,ROW(AW40)-ROW(AW$15),0),15-13*ORÇAMENTO!$AF$11)),0)</f>
        <v>0</v>
      </c>
      <c r="AX40" s="631">
        <f ca="1">IF(AND($D40="Serviço",AX$12&lt;&gt;0,$H40&gt;0,OR(AUTOEVENTO&lt;&gt;"manual",$M40&lt;&gt;1)),
IF(Import.TipoArredondamento&lt;&gt;"TransfereGOV",
ROUND(OFFSET($P40,0,AX$13),15-13*ORÇAMENTO!$AF$7)/$H40*OFFSET(ORÇAMENTO!$X$15,ROW(AX40)-ROW(AX$15),0),
ROUND(ROUND(OFFSET($P40,0,AX$13),15-13*ORÇAMENTO!$AF$7)*OFFSET(ORÇAMENTO!$W$15,ROW(AX40)-ROW(AX$15),0),15-13*ORÇAMENTO!$AF$11)),0)</f>
        <v>0</v>
      </c>
      <c r="AY40" s="631">
        <f ca="1">IF(AND($D40="Serviço",AY$12&lt;&gt;0,$H40&gt;0,OR(AUTOEVENTO&lt;&gt;"manual",$M40&lt;&gt;1)),
IF(Import.TipoArredondamento&lt;&gt;"TransfereGOV",
ROUND(OFFSET($P40,0,AY$13),15-13*ORÇAMENTO!$AF$7)/$H40*OFFSET(ORÇAMENTO!$X$15,ROW(AY40)-ROW(AY$15),0),
ROUND(ROUND(OFFSET($P40,0,AY$13),15-13*ORÇAMENTO!$AF$7)*OFFSET(ORÇAMENTO!$W$15,ROW(AY40)-ROW(AY$15),0),15-13*ORÇAMENTO!$AF$11)),0)</f>
        <v>0</v>
      </c>
      <c r="AZ40" s="631">
        <f ca="1">IF(AND($D40="Serviço",AZ$12&lt;&gt;0,$H40&gt;0,OR(AUTOEVENTO&lt;&gt;"manual",$M40&lt;&gt;1)),
IF(Import.TipoArredondamento&lt;&gt;"TransfereGOV",
ROUND(OFFSET($P40,0,AZ$13),15-13*ORÇAMENTO!$AF$7)/$H40*OFFSET(ORÇAMENTO!$X$15,ROW(AZ40)-ROW(AZ$15),0),
ROUND(ROUND(OFFSET($P40,0,AZ$13),15-13*ORÇAMENTO!$AF$7)*OFFSET(ORÇAMENTO!$W$15,ROW(AZ40)-ROW(AZ$15),0),15-13*ORÇAMENTO!$AF$11)),0)</f>
        <v>0</v>
      </c>
      <c r="BA40" s="632">
        <f ca="1">IF(AND($D40="Serviço",BA$12&lt;&gt;0,$H40&gt;0,OR(AUTOEVENTO&lt;&gt;"manual",$M40&lt;&gt;1)),
IF(Import.TipoArredondamento&lt;&gt;"TransfereGOV",
ROUND(OFFSET($P40,0,BA$13),15-13*ORÇAMENTO!$AF$7)/$H40*OFFSET(ORÇAMENTO!$X$15,ROW(BA40)-ROW(BA$15),0),
ROUND(ROUND(OFFSET($P40,0,BA$13),15-13*ORÇAMENTO!$AF$7)*OFFSET(ORÇAMENTO!$W$15,ROW(BA40)-ROW(BA$15),0),15-13*ORÇAMENTO!$AF$11)),0)</f>
        <v>0</v>
      </c>
      <c r="BC40" s="216">
        <f ca="1">IF($D40&lt;&gt;"Serviço",0,IF(AND(AUTOEVENTO="Manual",$M40=1),0,IF(OFFSET(CRONOPLE!$F$14,$M40,BC$13)="",10^12,OFFSET(CRONOPLE!$F$14,$M40,BC$13))))</f>
        <v>1</v>
      </c>
      <c r="BD40" s="216">
        <f ca="1">IF($D40&lt;&gt;"Serviço",0,IF(AND(AUTOEVENTO="Manual",$M40=1),0,IF(OFFSET(CRONOPLE!$F$14,$M40,BD$13)="",10^12,OFFSET(CRONOPLE!$F$14,$M40,BD$13))))</f>
        <v>1</v>
      </c>
      <c r="BE40" s="216">
        <f ca="1">IF($D40&lt;&gt;"Serviço",0,IF(AND(AUTOEVENTO="Manual",$M40=1),0,IF(OFFSET(CRONOPLE!$F$14,$M40,BE$13)="",10^12,OFFSET(CRONOPLE!$F$14,$M40,BE$13))))</f>
        <v>2</v>
      </c>
      <c r="BF40" s="216">
        <f ca="1">IF($D40&lt;&gt;"Serviço",0,IF(AND(AUTOEVENTO="Manual",$M40=1),0,IF(OFFSET(CRONOPLE!$F$14,$M40,BF$13)="",10^12,OFFSET(CRONOPLE!$F$14,$M40,BF$13))))</f>
        <v>2</v>
      </c>
      <c r="BG40" s="216">
        <f ca="1">IF($D40&lt;&gt;"Serviço",0,IF(AND(AUTOEVENTO="Manual",$M40=1),0,IF(OFFSET(CRONOPLE!$F$14,$M40,BG$13)="",10^12,OFFSET(CRONOPLE!$F$14,$M40,BG$13))))</f>
        <v>3</v>
      </c>
      <c r="BH40" s="216">
        <f ca="1">IF($D40&lt;&gt;"Serviço",0,IF(AND(AUTOEVENTO="Manual",$M40=1),0,IF(OFFSET(CRONOPLE!$F$14,$M40,BH$13)="",10^12,OFFSET(CRONOPLE!$F$14,$M40,BH$13))))</f>
        <v>4</v>
      </c>
      <c r="BI40" s="216">
        <f ca="1">IF($D40&lt;&gt;"Serviço",0,IF(AND(AUTOEVENTO="Manual",$M40=1),0,IF(OFFSET(CRONOPLE!$F$14,$M40,BI$13)="",10^12,OFFSET(CRONOPLE!$F$14,$M40,BI$13))))</f>
        <v>4</v>
      </c>
      <c r="BJ40" s="216">
        <f ca="1">IF($D40&lt;&gt;"Serviço",0,IF(AND(AUTOEVENTO="Manual",$M40=1),0,IF(OFFSET(CRONOPLE!$F$14,$M40,BJ$13)="",10^12,OFFSET(CRONOPLE!$F$14,$M40,BJ$13))))</f>
        <v>4</v>
      </c>
      <c r="BK40" s="216">
        <f ca="1">IF($D40&lt;&gt;"Serviço",0,IF(AND(AUTOEVENTO="Manual",$M40=1),0,IF(OFFSET(CRONOPLE!$F$14,$M40,BK$13)="",10^12,OFFSET(CRONOPLE!$F$14,$M40,BK$13))))</f>
        <v>5</v>
      </c>
      <c r="BL40" s="216">
        <f ca="1">IF($D40&lt;&gt;"Serviço",0,IF(AND(AUTOEVENTO="Manual",$M40=1),0,IF(OFFSET(CRONOPLE!$F$14,$M40,BL$13)="",10^12,OFFSET(CRONOPLE!$F$14,$M40,BL$13))))</f>
        <v>5</v>
      </c>
      <c r="BM40" s="216">
        <f ca="1">IF($D40&lt;&gt;"Serviço",0,IF(AND(AUTOEVENTO="Manual",$M40=1),0,IF(OFFSET(CRONOPLE!$F$14,$M40,BM$13)="",10^12,OFFSET(CRONOPLE!$F$14,$M40,BM$13))))</f>
        <v>6</v>
      </c>
      <c r="BN40" s="216">
        <f ca="1">IF($D40&lt;&gt;"Serviço",0,IF(AND(AUTOEVENTO="Manual",$M40=1),0,IF(OFFSET(CRONOPLE!$F$14,$M40,BN$13)="",10^12,OFFSET(CRONOPLE!$F$14,$M40,BN$13))))</f>
        <v>6</v>
      </c>
      <c r="BO40" s="216">
        <f ca="1">IF($D40&lt;&gt;"Serviço",0,IF(AND(AUTOEVENTO="Manual",$M40=1),0,IF(OFFSET(CRONOPLE!$F$14,$M40,BO$13)="",10^12,OFFSET(CRONOPLE!$F$14,$M40,BO$13))))</f>
        <v>6</v>
      </c>
      <c r="BP40" s="216">
        <f ca="1">IF($D40&lt;&gt;"Serviço",0,IF(AND(AUTOEVENTO="Manual",$M40=1),0,IF(OFFSET(CRONOPLE!$F$14,$M40,BP$13)="",10^12,OFFSET(CRONOPLE!$F$14,$M40,BP$13))))</f>
        <v>1000000000000</v>
      </c>
      <c r="BQ40" s="216">
        <f ca="1">IF($D40&lt;&gt;"Serviço",0,IF(AND(AUTOEVENTO="Manual",$M40=1),0,IF(OFFSET(CRONOPLE!$F$14,$M40,BQ$13)="",10^12,OFFSET(CRONOPLE!$F$14,$M40,BQ$13))))</f>
        <v>1000000000000</v>
      </c>
      <c r="BR40" s="216">
        <f ca="1">IF($D40&lt;&gt;"Serviço",0,IF(AND(AUTOEVENTO="Manual",$M40=1),0,IF(OFFSET(CRONOPLE!$F$14,$M40,BR$13)="",10^12,OFFSET(CRONOPLE!$F$14,$M40,BR$13))))</f>
        <v>1000000000000</v>
      </c>
      <c r="BS40" s="216">
        <f ca="1">IF($D40&lt;&gt;"Serviço",0,IF(AND(AUTOEVENTO="Manual",$M40=1),0,IF(OFFSET(CRONOPLE!$F$14,$M40,BS$13)="",10^12,OFFSET(CRONOPLE!$F$14,$M40,BS$13))))</f>
        <v>1000000000000</v>
      </c>
      <c r="BT40" s="216">
        <f ca="1">IF($D40&lt;&gt;"Serviço",0,IF(AND(AUTOEVENTO="Manual",$M40=1),0,IF(OFFSET(CRONOPLE!$F$14,$M40,BT$13)="",10^12,OFFSET(CRONOPLE!$F$14,$M40,BT$13))))</f>
        <v>1000000000000</v>
      </c>
      <c r="BV40" s="217">
        <f ca="1">IF($D40&lt;&gt;"Serviço",0,IF(OR(AND(AUTOEVENTO="Manual",$M40=1),$M40&gt;(ROW(PLE.lastrow)-ROW(PLE.firstrow))),0,IF(OFFSET(PLE!$G$14,$M40,BV$13)="",10^12,OFFSET(PLE!$G$14,$M40,BV$13))))</f>
        <v>1000000000000</v>
      </c>
      <c r="BW40" s="217">
        <f ca="1">IF($D40&lt;&gt;"Serviço",0,IF(OR(AND(AUTOEVENTO="Manual",$M40=1),$M40&gt;(ROW(PLE.lastrow)-ROW(PLE.firstrow))),0,IF(OFFSET(PLE!$G$14,$M40,BW$13)="",10^12,OFFSET(PLE!$G$14,$M40,BW$13))))</f>
        <v>1000000000000</v>
      </c>
      <c r="BX40" s="217">
        <f ca="1">IF($D40&lt;&gt;"Serviço",0,IF(OR(AND(AUTOEVENTO="Manual",$M40=1),$M40&gt;(ROW(PLE.lastrow)-ROW(PLE.firstrow))),0,IF(OFFSET(PLE!$G$14,$M40,BX$13)="",10^12,OFFSET(PLE!$G$14,$M40,BX$13))))</f>
        <v>1000000000000</v>
      </c>
      <c r="BY40" s="217">
        <f ca="1">IF($D40&lt;&gt;"Serviço",0,IF(OR(AND(AUTOEVENTO="Manual",$M40=1),$M40&gt;(ROW(PLE.lastrow)-ROW(PLE.firstrow))),0,IF(OFFSET(PLE!$G$14,$M40,BY$13)="",10^12,OFFSET(PLE!$G$14,$M40,BY$13))))</f>
        <v>1000000000000</v>
      </c>
      <c r="BZ40" s="217">
        <f ca="1">IF($D40&lt;&gt;"Serviço",0,IF(OR(AND(AUTOEVENTO="Manual",$M40=1),$M40&gt;(ROW(PLE.lastrow)-ROW(PLE.firstrow))),0,IF(OFFSET(PLE!$G$14,$M40,BZ$13)="",10^12,OFFSET(PLE!$G$14,$M40,BZ$13))))</f>
        <v>1000000000000</v>
      </c>
      <c r="CA40" s="217">
        <f ca="1">IF($D40&lt;&gt;"Serviço",0,IF(OR(AND(AUTOEVENTO="Manual",$M40=1),$M40&gt;(ROW(PLE.lastrow)-ROW(PLE.firstrow))),0,IF(OFFSET(PLE!$G$14,$M40,CA$13)="",10^12,OFFSET(PLE!$G$14,$M40,CA$13))))</f>
        <v>1000000000000</v>
      </c>
      <c r="CB40" s="217">
        <f ca="1">IF($D40&lt;&gt;"Serviço",0,IF(OR(AND(AUTOEVENTO="Manual",$M40=1),$M40&gt;(ROW(PLE.lastrow)-ROW(PLE.firstrow))),0,IF(OFFSET(PLE!$G$14,$M40,CB$13)="",10^12,OFFSET(PLE!$G$14,$M40,CB$13))))</f>
        <v>1000000000000</v>
      </c>
      <c r="CC40" s="217">
        <f ca="1">IF($D40&lt;&gt;"Serviço",0,IF(OR(AND(AUTOEVENTO="Manual",$M40=1),$M40&gt;(ROW(PLE.lastrow)-ROW(PLE.firstrow))),0,IF(OFFSET(PLE!$G$14,$M40,CC$13)="",10^12,OFFSET(PLE!$G$14,$M40,CC$13))))</f>
        <v>1000000000000</v>
      </c>
      <c r="CD40" s="217">
        <f ca="1">IF($D40&lt;&gt;"Serviço",0,IF(OR(AND(AUTOEVENTO="Manual",$M40=1),$M40&gt;(ROW(PLE.lastrow)-ROW(PLE.firstrow))),0,IF(OFFSET(PLE!$G$14,$M40,CD$13)="",10^12,OFFSET(PLE!$G$14,$M40,CD$13))))</f>
        <v>1000000000000</v>
      </c>
      <c r="CE40" s="217">
        <f ca="1">IF($D40&lt;&gt;"Serviço",0,IF(OR(AND(AUTOEVENTO="Manual",$M40=1),$M40&gt;(ROW(PLE.lastrow)-ROW(PLE.firstrow))),0,IF(OFFSET(PLE!$G$14,$M40,CE$13)="",10^12,OFFSET(PLE!$G$14,$M40,CE$13))))</f>
        <v>1000000000000</v>
      </c>
      <c r="CF40" s="217">
        <f ca="1">IF($D40&lt;&gt;"Serviço",0,IF(OR(AND(AUTOEVENTO="Manual",$M40=1),$M40&gt;(ROW(PLE.lastrow)-ROW(PLE.firstrow))),0,IF(OFFSET(PLE!$G$14,$M40,CF$13)="",10^12,OFFSET(PLE!$G$14,$M40,CF$13))))</f>
        <v>1000000000000</v>
      </c>
      <c r="CG40" s="217">
        <f ca="1">IF($D40&lt;&gt;"Serviço",0,IF(OR(AND(AUTOEVENTO="Manual",$M40=1),$M40&gt;(ROW(PLE.lastrow)-ROW(PLE.firstrow))),0,IF(OFFSET(PLE!$G$14,$M40,CG$13)="",10^12,OFFSET(PLE!$G$14,$M40,CG$13))))</f>
        <v>1000000000000</v>
      </c>
      <c r="CH40" s="217">
        <f ca="1">IF($D40&lt;&gt;"Serviço",0,IF(OR(AND(AUTOEVENTO="Manual",$M40=1),$M40&gt;(ROW(PLE.lastrow)-ROW(PLE.firstrow))),0,IF(OFFSET(PLE!$G$14,$M40,CH$13)="",10^12,OFFSET(PLE!$G$14,$M40,CH$13))))</f>
        <v>1000000000000</v>
      </c>
      <c r="CI40" s="217">
        <f ca="1">IF($D40&lt;&gt;"Serviço",0,IF(OR(AND(AUTOEVENTO="Manual",$M40=1),$M40&gt;(ROW(PLE.lastrow)-ROW(PLE.firstrow))),0,IF(OFFSET(PLE!$G$14,$M40,CI$13)="",10^12,OFFSET(PLE!$G$14,$M40,CI$13))))</f>
        <v>1000000000000</v>
      </c>
      <c r="CJ40" s="217">
        <f ca="1">IF($D40&lt;&gt;"Serviço",0,IF(OR(AND(AUTOEVENTO="Manual",$M40=1),$M40&gt;(ROW(PLE.lastrow)-ROW(PLE.firstrow))),0,IF(OFFSET(PLE!$G$14,$M40,CJ$13)="",10^12,OFFSET(PLE!$G$14,$M40,CJ$13))))</f>
        <v>1000000000000</v>
      </c>
      <c r="CK40" s="217">
        <f ca="1">IF($D40&lt;&gt;"Serviço",0,IF(OR(AND(AUTOEVENTO="Manual",$M40=1),$M40&gt;(ROW(PLE.lastrow)-ROW(PLE.firstrow))),0,IF(OFFSET(PLE!$G$14,$M40,CK$13)="",10^12,OFFSET(PLE!$G$14,$M40,CK$13))))</f>
        <v>1000000000000</v>
      </c>
      <c r="CL40" s="217">
        <f ca="1">IF($D40&lt;&gt;"Serviço",0,IF(OR(AND(AUTOEVENTO="Manual",$M40=1),$M40&gt;(ROW(PLE.lastrow)-ROW(PLE.firstrow))),0,IF(OFFSET(PLE!$G$14,$M40,CL$13)="",10^12,OFFSET(PLE!$G$14,$M40,CL$13))))</f>
        <v>1000000000000</v>
      </c>
      <c r="CM40" s="217">
        <f ca="1">IF($D40&lt;&gt;"Serviço",0,IF(OR(AND(AUTOEVENTO="Manual",$M40=1),$M40&gt;(ROW(PLE.lastrow)-ROW(PLE.firstrow))),0,IF(OFFSET(PLE!$G$14,$M40,CM$13)="",10^12,OFFSET(PLE!$G$14,$M40,CM$13))))</f>
        <v>1000000000000</v>
      </c>
    </row>
    <row r="41" spans="1:91" ht="25.5" x14ac:dyDescent="0.2">
      <c r="A41" s="9" t="str">
        <f t="shared" ca="1" si="9"/>
        <v>24</v>
      </c>
      <c r="B41" s="9" t="str">
        <f ca="1">OFFSET(ORÇAMENTO!C$15,ROW(B41)-ROW(B$15),0)</f>
        <v>S</v>
      </c>
      <c r="C41" s="9" t="str">
        <f ca="1">OFFSET(ORÇAMENTO!L$15,ROW(C41)-ROW(C$15),0)</f>
        <v/>
      </c>
      <c r="D41" s="146" t="str">
        <f ca="1">OFFSET(ORÇAMENTO!N$15,ROW(D41)-ROW(D$15),0)</f>
        <v>Serviço</v>
      </c>
      <c r="E41" s="206" t="str">
        <f ca="1">OFFSET(ORÇAMENTO!O$15,ROW(E41)-ROW(E$15),0)</f>
        <v>-</v>
      </c>
      <c r="F41" s="207" t="str">
        <f ca="1">OFFSET(ORÇAMENTO!R$15,ROW(F41)-ROW(F$15),0)</f>
        <v>(abra o arquivo 'Referência 12-2023.xlsm)</v>
      </c>
      <c r="G41" s="208" t="str">
        <f ca="1">IF($D41&lt;&gt;"Serviço","",OFFSET(ORÇAMENTO!S$15,ROW(G41)-ROW(G$15),0))</f>
        <v>-</v>
      </c>
      <c r="H41" s="152">
        <f ca="1">IF($D41&lt;&gt;"Serviço",0,IF(ACOMPANHAMENTO="BM",ROUND(OFFSET(ORÇAMENTO!AJ$15,ROW(H41)-ROW(H$15),0),15-13*ORÇAMENTO!$AF$7),SUMPRODUCT(($Q$12:$AI$12&lt;&gt;"")*ROUND($Q41:$AI41,15-13*ORÇAMENTO!$AF$7))))</f>
        <v>590.81000000000006</v>
      </c>
      <c r="I41" s="649" t="s">
        <v>504</v>
      </c>
      <c r="K41" s="209"/>
      <c r="L41" s="210" t="s">
        <v>255</v>
      </c>
      <c r="M41" s="211">
        <f ca="1">IF($D41&lt;&gt;"Serviço","",IF(AUTOEVENTO="manual",$A41,IF(ISERROR(MATCH($A41,$A$15:OFFSET($A41,-1,0),0)),MAX($M$15:OFFSET(M41,-1,0))+1,INDEX($M$15:OFFSET(M41,-1,0),MATCH($A41,$A$15:OFFSET($A41,-1,0),0)))))</f>
        <v>7</v>
      </c>
      <c r="N41" s="212" t="str">
        <f ca="1">IF($D41&lt;&gt;"Serviço","",IF(AUTOEVENTO="Manual",IF($A41=0,"&lt;-- defina o número do agrupador",OFFSET(EVENTOS!$D$14,$A41,0)),OFFSET($F$15,$A41,0)))</f>
        <v xml:space="preserve">MEIO-FIO E DRENAGEM </v>
      </c>
      <c r="O41" s="213"/>
      <c r="Q41" s="213">
        <v>10.24</v>
      </c>
      <c r="R41" s="214">
        <v>14.54</v>
      </c>
      <c r="S41" s="214">
        <v>30.19</v>
      </c>
      <c r="T41" s="214">
        <v>91.4</v>
      </c>
      <c r="U41" s="214">
        <v>103.67</v>
      </c>
      <c r="V41" s="214">
        <v>10.01</v>
      </c>
      <c r="W41" s="214">
        <v>10.32</v>
      </c>
      <c r="X41" s="214">
        <v>89.86</v>
      </c>
      <c r="Y41" s="215">
        <v>61.55</v>
      </c>
      <c r="Z41" s="214">
        <v>96.33</v>
      </c>
      <c r="AA41" s="214">
        <v>47.81</v>
      </c>
      <c r="AB41" s="214">
        <v>24.89</v>
      </c>
      <c r="AC41" s="214"/>
      <c r="AD41" s="214"/>
      <c r="AE41" s="214"/>
      <c r="AF41" s="214"/>
      <c r="AG41" s="214"/>
      <c r="AH41" s="215"/>
      <c r="AJ41" s="630">
        <f ca="1">IF(AND($D41="Serviço",AJ$12&lt;&gt;0,$H41&gt;0,OR(AUTOEVENTO&lt;&gt;"manual",$M41&lt;&gt;1)),
IF(Import.TipoArredondamento&lt;&gt;"TransfereGOV",
ROUND(OFFSET($P41,0,AJ$13),15-13*ORÇAMENTO!$AF$7)/$H41*OFFSET(ORÇAMENTO!$X$15,ROW(AJ41)-ROW(AJ$15),0),
ROUND(ROUND(OFFSET($P41,0,AJ$13),15-13*ORÇAMENTO!$AF$7)*OFFSET(ORÇAMENTO!$W$15,ROW(AJ41)-ROW(AJ$15),0),15-13*ORÇAMENTO!$AF$11)),0)</f>
        <v>0</v>
      </c>
      <c r="AK41" s="631">
        <f ca="1">IF(AND($D41="Serviço",AK$12&lt;&gt;0,$H41&gt;0,OR(AUTOEVENTO&lt;&gt;"manual",$M41&lt;&gt;1)),
IF(Import.TipoArredondamento&lt;&gt;"TransfereGOV",
ROUND(OFFSET($P41,0,AK$13),15-13*ORÇAMENTO!$AF$7)/$H41*OFFSET(ORÇAMENTO!$X$15,ROW(AK41)-ROW(AK$15),0),
ROUND(ROUND(OFFSET($P41,0,AK$13),15-13*ORÇAMENTO!$AF$7)*OFFSET(ORÇAMENTO!$W$15,ROW(AK41)-ROW(AK$15),0),15-13*ORÇAMENTO!$AF$11)),0)</f>
        <v>0</v>
      </c>
      <c r="AL41" s="631">
        <f ca="1">IF(AND($D41="Serviço",AL$12&lt;&gt;0,$H41&gt;0,OR(AUTOEVENTO&lt;&gt;"manual",$M41&lt;&gt;1)),
IF(Import.TipoArredondamento&lt;&gt;"TransfereGOV",
ROUND(OFFSET($P41,0,AL$13),15-13*ORÇAMENTO!$AF$7)/$H41*OFFSET(ORÇAMENTO!$X$15,ROW(AL41)-ROW(AL$15),0),
ROUND(ROUND(OFFSET($P41,0,AL$13),15-13*ORÇAMENTO!$AF$7)*OFFSET(ORÇAMENTO!$W$15,ROW(AL41)-ROW(AL$15),0),15-13*ORÇAMENTO!$AF$11)),0)</f>
        <v>0</v>
      </c>
      <c r="AM41" s="631">
        <f ca="1">IF(AND($D41="Serviço",AM$12&lt;&gt;0,$H41&gt;0,OR(AUTOEVENTO&lt;&gt;"manual",$M41&lt;&gt;1)),
IF(Import.TipoArredondamento&lt;&gt;"TransfereGOV",
ROUND(OFFSET($P41,0,AM$13),15-13*ORÇAMENTO!$AF$7)/$H41*OFFSET(ORÇAMENTO!$X$15,ROW(AM41)-ROW(AM$15),0),
ROUND(ROUND(OFFSET($P41,0,AM$13),15-13*ORÇAMENTO!$AF$7)*OFFSET(ORÇAMENTO!$W$15,ROW(AM41)-ROW(AM$15),0),15-13*ORÇAMENTO!$AF$11)),0)</f>
        <v>0</v>
      </c>
      <c r="AN41" s="631">
        <f ca="1">IF(AND($D41="Serviço",AN$12&lt;&gt;0,$H41&gt;0,OR(AUTOEVENTO&lt;&gt;"manual",$M41&lt;&gt;1)),
IF(Import.TipoArredondamento&lt;&gt;"TransfereGOV",
ROUND(OFFSET($P41,0,AN$13),15-13*ORÇAMENTO!$AF$7)/$H41*OFFSET(ORÇAMENTO!$X$15,ROW(AN41)-ROW(AN$15),0),
ROUND(ROUND(OFFSET($P41,0,AN$13),15-13*ORÇAMENTO!$AF$7)*OFFSET(ORÇAMENTO!$W$15,ROW(AN41)-ROW(AN$15),0),15-13*ORÇAMENTO!$AF$11)),0)</f>
        <v>0</v>
      </c>
      <c r="AO41" s="631">
        <f ca="1">IF(AND($D41="Serviço",AO$12&lt;&gt;0,$H41&gt;0,OR(AUTOEVENTO&lt;&gt;"manual",$M41&lt;&gt;1)),
IF(Import.TipoArredondamento&lt;&gt;"TransfereGOV",
ROUND(OFFSET($P41,0,AO$13),15-13*ORÇAMENTO!$AF$7)/$H41*OFFSET(ORÇAMENTO!$X$15,ROW(AO41)-ROW(AO$15),0),
ROUND(ROUND(OFFSET($P41,0,AO$13),15-13*ORÇAMENTO!$AF$7)*OFFSET(ORÇAMENTO!$W$15,ROW(AO41)-ROW(AO$15),0),15-13*ORÇAMENTO!$AF$11)),0)</f>
        <v>0</v>
      </c>
      <c r="AP41" s="631">
        <f ca="1">IF(AND($D41="Serviço",AP$12&lt;&gt;0,$H41&gt;0,OR(AUTOEVENTO&lt;&gt;"manual",$M41&lt;&gt;1)),
IF(Import.TipoArredondamento&lt;&gt;"TransfereGOV",
ROUND(OFFSET($P41,0,AP$13),15-13*ORÇAMENTO!$AF$7)/$H41*OFFSET(ORÇAMENTO!$X$15,ROW(AP41)-ROW(AP$15),0),
ROUND(ROUND(OFFSET($P41,0,AP$13),15-13*ORÇAMENTO!$AF$7)*OFFSET(ORÇAMENTO!$W$15,ROW(AP41)-ROW(AP$15),0),15-13*ORÇAMENTO!$AF$11)),0)</f>
        <v>0</v>
      </c>
      <c r="AQ41" s="631">
        <f ca="1">IF(AND($D41="Serviço",AQ$12&lt;&gt;0,$H41&gt;0,OR(AUTOEVENTO&lt;&gt;"manual",$M41&lt;&gt;1)),
IF(Import.TipoArredondamento&lt;&gt;"TransfereGOV",
ROUND(OFFSET($P41,0,AQ$13),15-13*ORÇAMENTO!$AF$7)/$H41*OFFSET(ORÇAMENTO!$X$15,ROW(AQ41)-ROW(AQ$15),0),
ROUND(ROUND(OFFSET($P41,0,AQ$13),15-13*ORÇAMENTO!$AF$7)*OFFSET(ORÇAMENTO!$W$15,ROW(AQ41)-ROW(AQ$15),0),15-13*ORÇAMENTO!$AF$11)),0)</f>
        <v>0</v>
      </c>
      <c r="AR41" s="631">
        <f ca="1">IF(AND($D41="Serviço",AR$12&lt;&gt;0,$H41&gt;0,OR(AUTOEVENTO&lt;&gt;"manual",$M41&lt;&gt;1)),
IF(Import.TipoArredondamento&lt;&gt;"TransfereGOV",
ROUND(OFFSET($P41,0,AR$13),15-13*ORÇAMENTO!$AF$7)/$H41*OFFSET(ORÇAMENTO!$X$15,ROW(AR41)-ROW(AR$15),0),
ROUND(ROUND(OFFSET($P41,0,AR$13),15-13*ORÇAMENTO!$AF$7)*OFFSET(ORÇAMENTO!$W$15,ROW(AR41)-ROW(AR$15),0),15-13*ORÇAMENTO!$AF$11)),0)</f>
        <v>0</v>
      </c>
      <c r="AS41" s="632">
        <f ca="1">IF(AND($D41="Serviço",AS$12&lt;&gt;0,$H41&gt;0,OR(AUTOEVENTO&lt;&gt;"manual",$M41&lt;&gt;1)),
IF(Import.TipoArredondamento&lt;&gt;"TransfereGOV",
ROUND(OFFSET($P41,0,AS$13),15-13*ORÇAMENTO!$AF$7)/$H41*OFFSET(ORÇAMENTO!$X$15,ROW(AS41)-ROW(AS$15),0),
ROUND(ROUND(OFFSET($P41,0,AS$13),15-13*ORÇAMENTO!$AF$7)*OFFSET(ORÇAMENTO!$W$15,ROW(AS41)-ROW(AS$15),0),15-13*ORÇAMENTO!$AF$11)),0)</f>
        <v>0</v>
      </c>
      <c r="AT41" s="631">
        <f ca="1">IF(AND($D41="Serviço",AT$12&lt;&gt;0,$H41&gt;0,OR(AUTOEVENTO&lt;&gt;"manual",$M41&lt;&gt;1)),
IF(Import.TipoArredondamento&lt;&gt;"TransfereGOV",
ROUND(OFFSET($P41,0,AT$13),15-13*ORÇAMENTO!$AF$7)/$H41*OFFSET(ORÇAMENTO!$X$15,ROW(AT41)-ROW(AT$15),0),
ROUND(ROUND(OFFSET($P41,0,AT$13),15-13*ORÇAMENTO!$AF$7)*OFFSET(ORÇAMENTO!$W$15,ROW(AT41)-ROW(AT$15),0),15-13*ORÇAMENTO!$AF$11)),0)</f>
        <v>0</v>
      </c>
      <c r="AU41" s="631">
        <f ca="1">IF(AND($D41="Serviço",AU$12&lt;&gt;0,$H41&gt;0,OR(AUTOEVENTO&lt;&gt;"manual",$M41&lt;&gt;1)),
IF(Import.TipoArredondamento&lt;&gt;"TransfereGOV",
ROUND(OFFSET($P41,0,AU$13),15-13*ORÇAMENTO!$AF$7)/$H41*OFFSET(ORÇAMENTO!$X$15,ROW(AU41)-ROW(AU$15),0),
ROUND(ROUND(OFFSET($P41,0,AU$13),15-13*ORÇAMENTO!$AF$7)*OFFSET(ORÇAMENTO!$W$15,ROW(AU41)-ROW(AU$15),0),15-13*ORÇAMENTO!$AF$11)),0)</f>
        <v>0</v>
      </c>
      <c r="AV41" s="631">
        <f ca="1">IF(AND($D41="Serviço",AV$12&lt;&gt;0,$H41&gt;0,OR(AUTOEVENTO&lt;&gt;"manual",$M41&lt;&gt;1)),
IF(Import.TipoArredondamento&lt;&gt;"TransfereGOV",
ROUND(OFFSET($P41,0,AV$13),15-13*ORÇAMENTO!$AF$7)/$H41*OFFSET(ORÇAMENTO!$X$15,ROW(AV41)-ROW(AV$15),0),
ROUND(ROUND(OFFSET($P41,0,AV$13),15-13*ORÇAMENTO!$AF$7)*OFFSET(ORÇAMENTO!$W$15,ROW(AV41)-ROW(AV$15),0),15-13*ORÇAMENTO!$AF$11)),0)</f>
        <v>0</v>
      </c>
      <c r="AW41" s="631">
        <f ca="1">IF(AND($D41="Serviço",AW$12&lt;&gt;0,$H41&gt;0,OR(AUTOEVENTO&lt;&gt;"manual",$M41&lt;&gt;1)),
IF(Import.TipoArredondamento&lt;&gt;"TransfereGOV",
ROUND(OFFSET($P41,0,AW$13),15-13*ORÇAMENTO!$AF$7)/$H41*OFFSET(ORÇAMENTO!$X$15,ROW(AW41)-ROW(AW$15),0),
ROUND(ROUND(OFFSET($P41,0,AW$13),15-13*ORÇAMENTO!$AF$7)*OFFSET(ORÇAMENTO!$W$15,ROW(AW41)-ROW(AW$15),0),15-13*ORÇAMENTO!$AF$11)),0)</f>
        <v>0</v>
      </c>
      <c r="AX41" s="631">
        <f ca="1">IF(AND($D41="Serviço",AX$12&lt;&gt;0,$H41&gt;0,OR(AUTOEVENTO&lt;&gt;"manual",$M41&lt;&gt;1)),
IF(Import.TipoArredondamento&lt;&gt;"TransfereGOV",
ROUND(OFFSET($P41,0,AX$13),15-13*ORÇAMENTO!$AF$7)/$H41*OFFSET(ORÇAMENTO!$X$15,ROW(AX41)-ROW(AX$15),0),
ROUND(ROUND(OFFSET($P41,0,AX$13),15-13*ORÇAMENTO!$AF$7)*OFFSET(ORÇAMENTO!$W$15,ROW(AX41)-ROW(AX$15),0),15-13*ORÇAMENTO!$AF$11)),0)</f>
        <v>0</v>
      </c>
      <c r="AY41" s="631">
        <f ca="1">IF(AND($D41="Serviço",AY$12&lt;&gt;0,$H41&gt;0,OR(AUTOEVENTO&lt;&gt;"manual",$M41&lt;&gt;1)),
IF(Import.TipoArredondamento&lt;&gt;"TransfereGOV",
ROUND(OFFSET($P41,0,AY$13),15-13*ORÇAMENTO!$AF$7)/$H41*OFFSET(ORÇAMENTO!$X$15,ROW(AY41)-ROW(AY$15),0),
ROUND(ROUND(OFFSET($P41,0,AY$13),15-13*ORÇAMENTO!$AF$7)*OFFSET(ORÇAMENTO!$W$15,ROW(AY41)-ROW(AY$15),0),15-13*ORÇAMENTO!$AF$11)),0)</f>
        <v>0</v>
      </c>
      <c r="AZ41" s="631">
        <f ca="1">IF(AND($D41="Serviço",AZ$12&lt;&gt;0,$H41&gt;0,OR(AUTOEVENTO&lt;&gt;"manual",$M41&lt;&gt;1)),
IF(Import.TipoArredondamento&lt;&gt;"TransfereGOV",
ROUND(OFFSET($P41,0,AZ$13),15-13*ORÇAMENTO!$AF$7)/$H41*OFFSET(ORÇAMENTO!$X$15,ROW(AZ41)-ROW(AZ$15),0),
ROUND(ROUND(OFFSET($P41,0,AZ$13),15-13*ORÇAMENTO!$AF$7)*OFFSET(ORÇAMENTO!$W$15,ROW(AZ41)-ROW(AZ$15),0),15-13*ORÇAMENTO!$AF$11)),0)</f>
        <v>0</v>
      </c>
      <c r="BA41" s="632">
        <f ca="1">IF(AND($D41="Serviço",BA$12&lt;&gt;0,$H41&gt;0,OR(AUTOEVENTO&lt;&gt;"manual",$M41&lt;&gt;1)),
IF(Import.TipoArredondamento&lt;&gt;"TransfereGOV",
ROUND(OFFSET($P41,0,BA$13),15-13*ORÇAMENTO!$AF$7)/$H41*OFFSET(ORÇAMENTO!$X$15,ROW(BA41)-ROW(BA$15),0),
ROUND(ROUND(OFFSET($P41,0,BA$13),15-13*ORÇAMENTO!$AF$7)*OFFSET(ORÇAMENTO!$W$15,ROW(BA41)-ROW(BA$15),0),15-13*ORÇAMENTO!$AF$11)),0)</f>
        <v>0</v>
      </c>
      <c r="BC41" s="216">
        <f ca="1">IF($D41&lt;&gt;"Serviço",0,IF(AND(AUTOEVENTO="Manual",$M41=1),0,IF(OFFSET(CRONOPLE!$F$14,$M41,BC$13)="",10^12,OFFSET(CRONOPLE!$F$14,$M41,BC$13))))</f>
        <v>1</v>
      </c>
      <c r="BD41" s="216">
        <f ca="1">IF($D41&lt;&gt;"Serviço",0,IF(AND(AUTOEVENTO="Manual",$M41=1),0,IF(OFFSET(CRONOPLE!$F$14,$M41,BD$13)="",10^12,OFFSET(CRONOPLE!$F$14,$M41,BD$13))))</f>
        <v>1</v>
      </c>
      <c r="BE41" s="216">
        <f ca="1">IF($D41&lt;&gt;"Serviço",0,IF(AND(AUTOEVENTO="Manual",$M41=1),0,IF(OFFSET(CRONOPLE!$F$14,$M41,BE$13)="",10^12,OFFSET(CRONOPLE!$F$14,$M41,BE$13))))</f>
        <v>2</v>
      </c>
      <c r="BF41" s="216">
        <f ca="1">IF($D41&lt;&gt;"Serviço",0,IF(AND(AUTOEVENTO="Manual",$M41=1),0,IF(OFFSET(CRONOPLE!$F$14,$M41,BF$13)="",10^12,OFFSET(CRONOPLE!$F$14,$M41,BF$13))))</f>
        <v>2</v>
      </c>
      <c r="BG41" s="216">
        <f ca="1">IF($D41&lt;&gt;"Serviço",0,IF(AND(AUTOEVENTO="Manual",$M41=1),0,IF(OFFSET(CRONOPLE!$F$14,$M41,BG$13)="",10^12,OFFSET(CRONOPLE!$F$14,$M41,BG$13))))</f>
        <v>3</v>
      </c>
      <c r="BH41" s="216">
        <f ca="1">IF($D41&lt;&gt;"Serviço",0,IF(AND(AUTOEVENTO="Manual",$M41=1),0,IF(OFFSET(CRONOPLE!$F$14,$M41,BH$13)="",10^12,OFFSET(CRONOPLE!$F$14,$M41,BH$13))))</f>
        <v>4</v>
      </c>
      <c r="BI41" s="216">
        <f ca="1">IF($D41&lt;&gt;"Serviço",0,IF(AND(AUTOEVENTO="Manual",$M41=1),0,IF(OFFSET(CRONOPLE!$F$14,$M41,BI$13)="",10^12,OFFSET(CRONOPLE!$F$14,$M41,BI$13))))</f>
        <v>4</v>
      </c>
      <c r="BJ41" s="216">
        <f ca="1">IF($D41&lt;&gt;"Serviço",0,IF(AND(AUTOEVENTO="Manual",$M41=1),0,IF(OFFSET(CRONOPLE!$F$14,$M41,BJ$13)="",10^12,OFFSET(CRONOPLE!$F$14,$M41,BJ$13))))</f>
        <v>4</v>
      </c>
      <c r="BK41" s="216">
        <f ca="1">IF($D41&lt;&gt;"Serviço",0,IF(AND(AUTOEVENTO="Manual",$M41=1),0,IF(OFFSET(CRONOPLE!$F$14,$M41,BK$13)="",10^12,OFFSET(CRONOPLE!$F$14,$M41,BK$13))))</f>
        <v>5</v>
      </c>
      <c r="BL41" s="216">
        <f ca="1">IF($D41&lt;&gt;"Serviço",0,IF(AND(AUTOEVENTO="Manual",$M41=1),0,IF(OFFSET(CRONOPLE!$F$14,$M41,BL$13)="",10^12,OFFSET(CRONOPLE!$F$14,$M41,BL$13))))</f>
        <v>5</v>
      </c>
      <c r="BM41" s="216">
        <f ca="1">IF($D41&lt;&gt;"Serviço",0,IF(AND(AUTOEVENTO="Manual",$M41=1),0,IF(OFFSET(CRONOPLE!$F$14,$M41,BM$13)="",10^12,OFFSET(CRONOPLE!$F$14,$M41,BM$13))))</f>
        <v>6</v>
      </c>
      <c r="BN41" s="216">
        <f ca="1">IF($D41&lt;&gt;"Serviço",0,IF(AND(AUTOEVENTO="Manual",$M41=1),0,IF(OFFSET(CRONOPLE!$F$14,$M41,BN$13)="",10^12,OFFSET(CRONOPLE!$F$14,$M41,BN$13))))</f>
        <v>6</v>
      </c>
      <c r="BO41" s="216">
        <f ca="1">IF($D41&lt;&gt;"Serviço",0,IF(AND(AUTOEVENTO="Manual",$M41=1),0,IF(OFFSET(CRONOPLE!$F$14,$M41,BO$13)="",10^12,OFFSET(CRONOPLE!$F$14,$M41,BO$13))))</f>
        <v>6</v>
      </c>
      <c r="BP41" s="216">
        <f ca="1">IF($D41&lt;&gt;"Serviço",0,IF(AND(AUTOEVENTO="Manual",$M41=1),0,IF(OFFSET(CRONOPLE!$F$14,$M41,BP$13)="",10^12,OFFSET(CRONOPLE!$F$14,$M41,BP$13))))</f>
        <v>1000000000000</v>
      </c>
      <c r="BQ41" s="216">
        <f ca="1">IF($D41&lt;&gt;"Serviço",0,IF(AND(AUTOEVENTO="Manual",$M41=1),0,IF(OFFSET(CRONOPLE!$F$14,$M41,BQ$13)="",10^12,OFFSET(CRONOPLE!$F$14,$M41,BQ$13))))</f>
        <v>1000000000000</v>
      </c>
      <c r="BR41" s="216">
        <f ca="1">IF($D41&lt;&gt;"Serviço",0,IF(AND(AUTOEVENTO="Manual",$M41=1),0,IF(OFFSET(CRONOPLE!$F$14,$M41,BR$13)="",10^12,OFFSET(CRONOPLE!$F$14,$M41,BR$13))))</f>
        <v>1000000000000</v>
      </c>
      <c r="BS41" s="216">
        <f ca="1">IF($D41&lt;&gt;"Serviço",0,IF(AND(AUTOEVENTO="Manual",$M41=1),0,IF(OFFSET(CRONOPLE!$F$14,$M41,BS$13)="",10^12,OFFSET(CRONOPLE!$F$14,$M41,BS$13))))</f>
        <v>1000000000000</v>
      </c>
      <c r="BT41" s="216">
        <f ca="1">IF($D41&lt;&gt;"Serviço",0,IF(AND(AUTOEVENTO="Manual",$M41=1),0,IF(OFFSET(CRONOPLE!$F$14,$M41,BT$13)="",10^12,OFFSET(CRONOPLE!$F$14,$M41,BT$13))))</f>
        <v>1000000000000</v>
      </c>
      <c r="BV41" s="217">
        <f ca="1">IF($D41&lt;&gt;"Serviço",0,IF(OR(AND(AUTOEVENTO="Manual",$M41=1),$M41&gt;(ROW(PLE.lastrow)-ROW(PLE.firstrow))),0,IF(OFFSET(PLE!$G$14,$M41,BV$13)="",10^12,OFFSET(PLE!$G$14,$M41,BV$13))))</f>
        <v>1000000000000</v>
      </c>
      <c r="BW41" s="217">
        <f ca="1">IF($D41&lt;&gt;"Serviço",0,IF(OR(AND(AUTOEVENTO="Manual",$M41=1),$M41&gt;(ROW(PLE.lastrow)-ROW(PLE.firstrow))),0,IF(OFFSET(PLE!$G$14,$M41,BW$13)="",10^12,OFFSET(PLE!$G$14,$M41,BW$13))))</f>
        <v>1000000000000</v>
      </c>
      <c r="BX41" s="217">
        <f ca="1">IF($D41&lt;&gt;"Serviço",0,IF(OR(AND(AUTOEVENTO="Manual",$M41=1),$M41&gt;(ROW(PLE.lastrow)-ROW(PLE.firstrow))),0,IF(OFFSET(PLE!$G$14,$M41,BX$13)="",10^12,OFFSET(PLE!$G$14,$M41,BX$13))))</f>
        <v>1000000000000</v>
      </c>
      <c r="BY41" s="217">
        <f ca="1">IF($D41&lt;&gt;"Serviço",0,IF(OR(AND(AUTOEVENTO="Manual",$M41=1),$M41&gt;(ROW(PLE.lastrow)-ROW(PLE.firstrow))),0,IF(OFFSET(PLE!$G$14,$M41,BY$13)="",10^12,OFFSET(PLE!$G$14,$M41,BY$13))))</f>
        <v>1000000000000</v>
      </c>
      <c r="BZ41" s="217">
        <f ca="1">IF($D41&lt;&gt;"Serviço",0,IF(OR(AND(AUTOEVENTO="Manual",$M41=1),$M41&gt;(ROW(PLE.lastrow)-ROW(PLE.firstrow))),0,IF(OFFSET(PLE!$G$14,$M41,BZ$13)="",10^12,OFFSET(PLE!$G$14,$M41,BZ$13))))</f>
        <v>1000000000000</v>
      </c>
      <c r="CA41" s="217">
        <f ca="1">IF($D41&lt;&gt;"Serviço",0,IF(OR(AND(AUTOEVENTO="Manual",$M41=1),$M41&gt;(ROW(PLE.lastrow)-ROW(PLE.firstrow))),0,IF(OFFSET(PLE!$G$14,$M41,CA$13)="",10^12,OFFSET(PLE!$G$14,$M41,CA$13))))</f>
        <v>1000000000000</v>
      </c>
      <c r="CB41" s="217">
        <f ca="1">IF($D41&lt;&gt;"Serviço",0,IF(OR(AND(AUTOEVENTO="Manual",$M41=1),$M41&gt;(ROW(PLE.lastrow)-ROW(PLE.firstrow))),0,IF(OFFSET(PLE!$G$14,$M41,CB$13)="",10^12,OFFSET(PLE!$G$14,$M41,CB$13))))</f>
        <v>1000000000000</v>
      </c>
      <c r="CC41" s="217">
        <f ca="1">IF($D41&lt;&gt;"Serviço",0,IF(OR(AND(AUTOEVENTO="Manual",$M41=1),$M41&gt;(ROW(PLE.lastrow)-ROW(PLE.firstrow))),0,IF(OFFSET(PLE!$G$14,$M41,CC$13)="",10^12,OFFSET(PLE!$G$14,$M41,CC$13))))</f>
        <v>1000000000000</v>
      </c>
      <c r="CD41" s="217">
        <f ca="1">IF($D41&lt;&gt;"Serviço",0,IF(OR(AND(AUTOEVENTO="Manual",$M41=1),$M41&gt;(ROW(PLE.lastrow)-ROW(PLE.firstrow))),0,IF(OFFSET(PLE!$G$14,$M41,CD$13)="",10^12,OFFSET(PLE!$G$14,$M41,CD$13))))</f>
        <v>1000000000000</v>
      </c>
      <c r="CE41" s="217">
        <f ca="1">IF($D41&lt;&gt;"Serviço",0,IF(OR(AND(AUTOEVENTO="Manual",$M41=1),$M41&gt;(ROW(PLE.lastrow)-ROW(PLE.firstrow))),0,IF(OFFSET(PLE!$G$14,$M41,CE$13)="",10^12,OFFSET(PLE!$G$14,$M41,CE$13))))</f>
        <v>1000000000000</v>
      </c>
      <c r="CF41" s="217">
        <f ca="1">IF($D41&lt;&gt;"Serviço",0,IF(OR(AND(AUTOEVENTO="Manual",$M41=1),$M41&gt;(ROW(PLE.lastrow)-ROW(PLE.firstrow))),0,IF(OFFSET(PLE!$G$14,$M41,CF$13)="",10^12,OFFSET(PLE!$G$14,$M41,CF$13))))</f>
        <v>1000000000000</v>
      </c>
      <c r="CG41" s="217">
        <f ca="1">IF($D41&lt;&gt;"Serviço",0,IF(OR(AND(AUTOEVENTO="Manual",$M41=1),$M41&gt;(ROW(PLE.lastrow)-ROW(PLE.firstrow))),0,IF(OFFSET(PLE!$G$14,$M41,CG$13)="",10^12,OFFSET(PLE!$G$14,$M41,CG$13))))</f>
        <v>1000000000000</v>
      </c>
      <c r="CH41" s="217">
        <f ca="1">IF($D41&lt;&gt;"Serviço",0,IF(OR(AND(AUTOEVENTO="Manual",$M41=1),$M41&gt;(ROW(PLE.lastrow)-ROW(PLE.firstrow))),0,IF(OFFSET(PLE!$G$14,$M41,CH$13)="",10^12,OFFSET(PLE!$G$14,$M41,CH$13))))</f>
        <v>1000000000000</v>
      </c>
      <c r="CI41" s="217">
        <f ca="1">IF($D41&lt;&gt;"Serviço",0,IF(OR(AND(AUTOEVENTO="Manual",$M41=1),$M41&gt;(ROW(PLE.lastrow)-ROW(PLE.firstrow))),0,IF(OFFSET(PLE!$G$14,$M41,CI$13)="",10^12,OFFSET(PLE!$G$14,$M41,CI$13))))</f>
        <v>1000000000000</v>
      </c>
      <c r="CJ41" s="217">
        <f ca="1">IF($D41&lt;&gt;"Serviço",0,IF(OR(AND(AUTOEVENTO="Manual",$M41=1),$M41&gt;(ROW(PLE.lastrow)-ROW(PLE.firstrow))),0,IF(OFFSET(PLE!$G$14,$M41,CJ$13)="",10^12,OFFSET(PLE!$G$14,$M41,CJ$13))))</f>
        <v>1000000000000</v>
      </c>
      <c r="CK41" s="217">
        <f ca="1">IF($D41&lt;&gt;"Serviço",0,IF(OR(AND(AUTOEVENTO="Manual",$M41=1),$M41&gt;(ROW(PLE.lastrow)-ROW(PLE.firstrow))),0,IF(OFFSET(PLE!$G$14,$M41,CK$13)="",10^12,OFFSET(PLE!$G$14,$M41,CK$13))))</f>
        <v>1000000000000</v>
      </c>
      <c r="CL41" s="217">
        <f ca="1">IF($D41&lt;&gt;"Serviço",0,IF(OR(AND(AUTOEVENTO="Manual",$M41=1),$M41&gt;(ROW(PLE.lastrow)-ROW(PLE.firstrow))),0,IF(OFFSET(PLE!$G$14,$M41,CL$13)="",10^12,OFFSET(PLE!$G$14,$M41,CL$13))))</f>
        <v>1000000000000</v>
      </c>
      <c r="CM41" s="217">
        <f ca="1">IF($D41&lt;&gt;"Serviço",0,IF(OR(AND(AUTOEVENTO="Manual",$M41=1),$M41&gt;(ROW(PLE.lastrow)-ROW(PLE.firstrow))),0,IF(OFFSET(PLE!$G$14,$M41,CM$13)="",10^12,OFFSET(PLE!$G$14,$M41,CM$13))))</f>
        <v>1000000000000</v>
      </c>
    </row>
    <row r="42" spans="1:91" ht="12.75" x14ac:dyDescent="0.2">
      <c r="A42" s="9" t="str">
        <f t="shared" ca="1" si="9"/>
        <v>27.</v>
      </c>
      <c r="B42" s="9">
        <f ca="1">OFFSET(ORÇAMENTO!C$15,ROW(B42)-ROW(B$15),0)</f>
        <v>2</v>
      </c>
      <c r="C42" s="9" t="str">
        <f ca="1">OFFSET(ORÇAMENTO!L$15,ROW(C42)-ROW(C$15),0)</f>
        <v>F</v>
      </c>
      <c r="D42" s="146" t="str">
        <f ca="1">OFFSET(ORÇAMENTO!N$15,ROW(D42)-ROW(D$15),0)</f>
        <v>Nível 2</v>
      </c>
      <c r="E42" s="206" t="str">
        <f ca="1">OFFSET(ORÇAMENTO!O$15,ROW(E42)-ROW(E$15),0)</f>
        <v>1.7.</v>
      </c>
      <c r="F42" s="207" t="str">
        <f ca="1">OFFSET(ORÇAMENTO!R$15,ROW(F42)-ROW(F$15),0)</f>
        <v>PASSEIO E SINALIZAÇÃO</v>
      </c>
      <c r="G42" s="208" t="str">
        <f ca="1">IF($D42&lt;&gt;"Serviço","",OFFSET(ORÇAMENTO!S$15,ROW(G42)-ROW(G$15),0))</f>
        <v/>
      </c>
      <c r="H42" s="152">
        <f ca="1">IF($D42&lt;&gt;"Serviço",0,IF(ACOMPANHAMENTO="BM",ROUND(OFFSET(ORÇAMENTO!AJ$15,ROW(H42)-ROW(H$15),0),15-13*ORÇAMENTO!$AF$7),SUMPRODUCT(($Q$12:$AI$12&lt;&gt;"")*ROUND($Q42:$AI42,15-13*ORÇAMENTO!$AF$7))))</f>
        <v>0</v>
      </c>
      <c r="I42" s="649"/>
      <c r="K42" s="209"/>
      <c r="L42" s="210" t="s">
        <v>255</v>
      </c>
      <c r="M42" s="211" t="str">
        <f ca="1">IF($D42&lt;&gt;"Serviço","",IF(AUTOEVENTO="manual",$A42,IF(ISERROR(MATCH($A42,$A$15:OFFSET($A42,-1,0),0)),MAX($M$15:OFFSET(M42,-1,0))+1,INDEX($M$15:OFFSET(M42,-1,0),MATCH($A42,$A$15:OFFSET($A42,-1,0),0)))))</f>
        <v/>
      </c>
      <c r="N42" s="212" t="str">
        <f ca="1">IF($D42&lt;&gt;"Serviço","",IF(AUTOEVENTO="Manual",IF($A42=0,"&lt;-- defina o número do agrupador",OFFSET(EVENTOS!$D$14,$A42,0)),OFFSET($F$15,$A42,0)))</f>
        <v/>
      </c>
      <c r="O42" s="213"/>
      <c r="Q42" s="213"/>
      <c r="R42" s="214"/>
      <c r="S42" s="214"/>
      <c r="T42" s="214"/>
      <c r="U42" s="214"/>
      <c r="V42" s="214"/>
      <c r="W42" s="214"/>
      <c r="X42" s="214"/>
      <c r="Y42" s="215"/>
      <c r="Z42" s="214"/>
      <c r="AA42" s="214"/>
      <c r="AB42" s="214"/>
      <c r="AC42" s="214"/>
      <c r="AD42" s="214"/>
      <c r="AE42" s="214"/>
      <c r="AF42" s="214"/>
      <c r="AG42" s="214"/>
      <c r="AH42" s="215"/>
      <c r="AJ42" s="630">
        <f ca="1">IF(AND($D42="Serviço",AJ$12&lt;&gt;0,$H42&gt;0,OR(AUTOEVENTO&lt;&gt;"manual",$M42&lt;&gt;1)),
IF(Import.TipoArredondamento&lt;&gt;"TransfereGOV",
ROUND(OFFSET($P42,0,AJ$13),15-13*ORÇAMENTO!$AF$7)/$H42*OFFSET(ORÇAMENTO!$X$15,ROW(AJ42)-ROW(AJ$15),0),
ROUND(ROUND(OFFSET($P42,0,AJ$13),15-13*ORÇAMENTO!$AF$7)*OFFSET(ORÇAMENTO!$W$15,ROW(AJ42)-ROW(AJ$15),0),15-13*ORÇAMENTO!$AF$11)),0)</f>
        <v>0</v>
      </c>
      <c r="AK42" s="631">
        <f ca="1">IF(AND($D42="Serviço",AK$12&lt;&gt;0,$H42&gt;0,OR(AUTOEVENTO&lt;&gt;"manual",$M42&lt;&gt;1)),
IF(Import.TipoArredondamento&lt;&gt;"TransfereGOV",
ROUND(OFFSET($P42,0,AK$13),15-13*ORÇAMENTO!$AF$7)/$H42*OFFSET(ORÇAMENTO!$X$15,ROW(AK42)-ROW(AK$15),0),
ROUND(ROUND(OFFSET($P42,0,AK$13),15-13*ORÇAMENTO!$AF$7)*OFFSET(ORÇAMENTO!$W$15,ROW(AK42)-ROW(AK$15),0),15-13*ORÇAMENTO!$AF$11)),0)</f>
        <v>0</v>
      </c>
      <c r="AL42" s="631">
        <f ca="1">IF(AND($D42="Serviço",AL$12&lt;&gt;0,$H42&gt;0,OR(AUTOEVENTO&lt;&gt;"manual",$M42&lt;&gt;1)),
IF(Import.TipoArredondamento&lt;&gt;"TransfereGOV",
ROUND(OFFSET($P42,0,AL$13),15-13*ORÇAMENTO!$AF$7)/$H42*OFFSET(ORÇAMENTO!$X$15,ROW(AL42)-ROW(AL$15),0),
ROUND(ROUND(OFFSET($P42,0,AL$13),15-13*ORÇAMENTO!$AF$7)*OFFSET(ORÇAMENTO!$W$15,ROW(AL42)-ROW(AL$15),0),15-13*ORÇAMENTO!$AF$11)),0)</f>
        <v>0</v>
      </c>
      <c r="AM42" s="631">
        <f ca="1">IF(AND($D42="Serviço",AM$12&lt;&gt;0,$H42&gt;0,OR(AUTOEVENTO&lt;&gt;"manual",$M42&lt;&gt;1)),
IF(Import.TipoArredondamento&lt;&gt;"TransfereGOV",
ROUND(OFFSET($P42,0,AM$13),15-13*ORÇAMENTO!$AF$7)/$H42*OFFSET(ORÇAMENTO!$X$15,ROW(AM42)-ROW(AM$15),0),
ROUND(ROUND(OFFSET($P42,0,AM$13),15-13*ORÇAMENTO!$AF$7)*OFFSET(ORÇAMENTO!$W$15,ROW(AM42)-ROW(AM$15),0),15-13*ORÇAMENTO!$AF$11)),0)</f>
        <v>0</v>
      </c>
      <c r="AN42" s="631">
        <f ca="1">IF(AND($D42="Serviço",AN$12&lt;&gt;0,$H42&gt;0,OR(AUTOEVENTO&lt;&gt;"manual",$M42&lt;&gt;1)),
IF(Import.TipoArredondamento&lt;&gt;"TransfereGOV",
ROUND(OFFSET($P42,0,AN$13),15-13*ORÇAMENTO!$AF$7)/$H42*OFFSET(ORÇAMENTO!$X$15,ROW(AN42)-ROW(AN$15),0),
ROUND(ROUND(OFFSET($P42,0,AN$13),15-13*ORÇAMENTO!$AF$7)*OFFSET(ORÇAMENTO!$W$15,ROW(AN42)-ROW(AN$15),0),15-13*ORÇAMENTO!$AF$11)),0)</f>
        <v>0</v>
      </c>
      <c r="AO42" s="631">
        <f ca="1">IF(AND($D42="Serviço",AO$12&lt;&gt;0,$H42&gt;0,OR(AUTOEVENTO&lt;&gt;"manual",$M42&lt;&gt;1)),
IF(Import.TipoArredondamento&lt;&gt;"TransfereGOV",
ROUND(OFFSET($P42,0,AO$13),15-13*ORÇAMENTO!$AF$7)/$H42*OFFSET(ORÇAMENTO!$X$15,ROW(AO42)-ROW(AO$15),0),
ROUND(ROUND(OFFSET($P42,0,AO$13),15-13*ORÇAMENTO!$AF$7)*OFFSET(ORÇAMENTO!$W$15,ROW(AO42)-ROW(AO$15),0),15-13*ORÇAMENTO!$AF$11)),0)</f>
        <v>0</v>
      </c>
      <c r="AP42" s="631">
        <f ca="1">IF(AND($D42="Serviço",AP$12&lt;&gt;0,$H42&gt;0,OR(AUTOEVENTO&lt;&gt;"manual",$M42&lt;&gt;1)),
IF(Import.TipoArredondamento&lt;&gt;"TransfereGOV",
ROUND(OFFSET($P42,0,AP$13),15-13*ORÇAMENTO!$AF$7)/$H42*OFFSET(ORÇAMENTO!$X$15,ROW(AP42)-ROW(AP$15),0),
ROUND(ROUND(OFFSET($P42,0,AP$13),15-13*ORÇAMENTO!$AF$7)*OFFSET(ORÇAMENTO!$W$15,ROW(AP42)-ROW(AP$15),0),15-13*ORÇAMENTO!$AF$11)),0)</f>
        <v>0</v>
      </c>
      <c r="AQ42" s="631">
        <f ca="1">IF(AND($D42="Serviço",AQ$12&lt;&gt;0,$H42&gt;0,OR(AUTOEVENTO&lt;&gt;"manual",$M42&lt;&gt;1)),
IF(Import.TipoArredondamento&lt;&gt;"TransfereGOV",
ROUND(OFFSET($P42,0,AQ$13),15-13*ORÇAMENTO!$AF$7)/$H42*OFFSET(ORÇAMENTO!$X$15,ROW(AQ42)-ROW(AQ$15),0),
ROUND(ROUND(OFFSET($P42,0,AQ$13),15-13*ORÇAMENTO!$AF$7)*OFFSET(ORÇAMENTO!$W$15,ROW(AQ42)-ROW(AQ$15),0),15-13*ORÇAMENTO!$AF$11)),0)</f>
        <v>0</v>
      </c>
      <c r="AR42" s="631">
        <f ca="1">IF(AND($D42="Serviço",AR$12&lt;&gt;0,$H42&gt;0,OR(AUTOEVENTO&lt;&gt;"manual",$M42&lt;&gt;1)),
IF(Import.TipoArredondamento&lt;&gt;"TransfereGOV",
ROUND(OFFSET($P42,0,AR$13),15-13*ORÇAMENTO!$AF$7)/$H42*OFFSET(ORÇAMENTO!$X$15,ROW(AR42)-ROW(AR$15),0),
ROUND(ROUND(OFFSET($P42,0,AR$13),15-13*ORÇAMENTO!$AF$7)*OFFSET(ORÇAMENTO!$W$15,ROW(AR42)-ROW(AR$15),0),15-13*ORÇAMENTO!$AF$11)),0)</f>
        <v>0</v>
      </c>
      <c r="AS42" s="632">
        <f ca="1">IF(AND($D42="Serviço",AS$12&lt;&gt;0,$H42&gt;0,OR(AUTOEVENTO&lt;&gt;"manual",$M42&lt;&gt;1)),
IF(Import.TipoArredondamento&lt;&gt;"TransfereGOV",
ROUND(OFFSET($P42,0,AS$13),15-13*ORÇAMENTO!$AF$7)/$H42*OFFSET(ORÇAMENTO!$X$15,ROW(AS42)-ROW(AS$15),0),
ROUND(ROUND(OFFSET($P42,0,AS$13),15-13*ORÇAMENTO!$AF$7)*OFFSET(ORÇAMENTO!$W$15,ROW(AS42)-ROW(AS$15),0),15-13*ORÇAMENTO!$AF$11)),0)</f>
        <v>0</v>
      </c>
      <c r="AT42" s="631">
        <f ca="1">IF(AND($D42="Serviço",AT$12&lt;&gt;0,$H42&gt;0,OR(AUTOEVENTO&lt;&gt;"manual",$M42&lt;&gt;1)),
IF(Import.TipoArredondamento&lt;&gt;"TransfereGOV",
ROUND(OFFSET($P42,0,AT$13),15-13*ORÇAMENTO!$AF$7)/$H42*OFFSET(ORÇAMENTO!$X$15,ROW(AT42)-ROW(AT$15),0),
ROUND(ROUND(OFFSET($P42,0,AT$13),15-13*ORÇAMENTO!$AF$7)*OFFSET(ORÇAMENTO!$W$15,ROW(AT42)-ROW(AT$15),0),15-13*ORÇAMENTO!$AF$11)),0)</f>
        <v>0</v>
      </c>
      <c r="AU42" s="631">
        <f ca="1">IF(AND($D42="Serviço",AU$12&lt;&gt;0,$H42&gt;0,OR(AUTOEVENTO&lt;&gt;"manual",$M42&lt;&gt;1)),
IF(Import.TipoArredondamento&lt;&gt;"TransfereGOV",
ROUND(OFFSET($P42,0,AU$13),15-13*ORÇAMENTO!$AF$7)/$H42*OFFSET(ORÇAMENTO!$X$15,ROW(AU42)-ROW(AU$15),0),
ROUND(ROUND(OFFSET($P42,0,AU$13),15-13*ORÇAMENTO!$AF$7)*OFFSET(ORÇAMENTO!$W$15,ROW(AU42)-ROW(AU$15),0),15-13*ORÇAMENTO!$AF$11)),0)</f>
        <v>0</v>
      </c>
      <c r="AV42" s="631">
        <f ca="1">IF(AND($D42="Serviço",AV$12&lt;&gt;0,$H42&gt;0,OR(AUTOEVENTO&lt;&gt;"manual",$M42&lt;&gt;1)),
IF(Import.TipoArredondamento&lt;&gt;"TransfereGOV",
ROUND(OFFSET($P42,0,AV$13),15-13*ORÇAMENTO!$AF$7)/$H42*OFFSET(ORÇAMENTO!$X$15,ROW(AV42)-ROW(AV$15),0),
ROUND(ROUND(OFFSET($P42,0,AV$13),15-13*ORÇAMENTO!$AF$7)*OFFSET(ORÇAMENTO!$W$15,ROW(AV42)-ROW(AV$15),0),15-13*ORÇAMENTO!$AF$11)),0)</f>
        <v>0</v>
      </c>
      <c r="AW42" s="631">
        <f ca="1">IF(AND($D42="Serviço",AW$12&lt;&gt;0,$H42&gt;0,OR(AUTOEVENTO&lt;&gt;"manual",$M42&lt;&gt;1)),
IF(Import.TipoArredondamento&lt;&gt;"TransfereGOV",
ROUND(OFFSET($P42,0,AW$13),15-13*ORÇAMENTO!$AF$7)/$H42*OFFSET(ORÇAMENTO!$X$15,ROW(AW42)-ROW(AW$15),0),
ROUND(ROUND(OFFSET($P42,0,AW$13),15-13*ORÇAMENTO!$AF$7)*OFFSET(ORÇAMENTO!$W$15,ROW(AW42)-ROW(AW$15),0),15-13*ORÇAMENTO!$AF$11)),0)</f>
        <v>0</v>
      </c>
      <c r="AX42" s="631">
        <f ca="1">IF(AND($D42="Serviço",AX$12&lt;&gt;0,$H42&gt;0,OR(AUTOEVENTO&lt;&gt;"manual",$M42&lt;&gt;1)),
IF(Import.TipoArredondamento&lt;&gt;"TransfereGOV",
ROUND(OFFSET($P42,0,AX$13),15-13*ORÇAMENTO!$AF$7)/$H42*OFFSET(ORÇAMENTO!$X$15,ROW(AX42)-ROW(AX$15),0),
ROUND(ROUND(OFFSET($P42,0,AX$13),15-13*ORÇAMENTO!$AF$7)*OFFSET(ORÇAMENTO!$W$15,ROW(AX42)-ROW(AX$15),0),15-13*ORÇAMENTO!$AF$11)),0)</f>
        <v>0</v>
      </c>
      <c r="AY42" s="631">
        <f ca="1">IF(AND($D42="Serviço",AY$12&lt;&gt;0,$H42&gt;0,OR(AUTOEVENTO&lt;&gt;"manual",$M42&lt;&gt;1)),
IF(Import.TipoArredondamento&lt;&gt;"TransfereGOV",
ROUND(OFFSET($P42,0,AY$13),15-13*ORÇAMENTO!$AF$7)/$H42*OFFSET(ORÇAMENTO!$X$15,ROW(AY42)-ROW(AY$15),0),
ROUND(ROUND(OFFSET($P42,0,AY$13),15-13*ORÇAMENTO!$AF$7)*OFFSET(ORÇAMENTO!$W$15,ROW(AY42)-ROW(AY$15),0),15-13*ORÇAMENTO!$AF$11)),0)</f>
        <v>0</v>
      </c>
      <c r="AZ42" s="631">
        <f ca="1">IF(AND($D42="Serviço",AZ$12&lt;&gt;0,$H42&gt;0,OR(AUTOEVENTO&lt;&gt;"manual",$M42&lt;&gt;1)),
IF(Import.TipoArredondamento&lt;&gt;"TransfereGOV",
ROUND(OFFSET($P42,0,AZ$13),15-13*ORÇAMENTO!$AF$7)/$H42*OFFSET(ORÇAMENTO!$X$15,ROW(AZ42)-ROW(AZ$15),0),
ROUND(ROUND(OFFSET($P42,0,AZ$13),15-13*ORÇAMENTO!$AF$7)*OFFSET(ORÇAMENTO!$W$15,ROW(AZ42)-ROW(AZ$15),0),15-13*ORÇAMENTO!$AF$11)),0)</f>
        <v>0</v>
      </c>
      <c r="BA42" s="632">
        <f ca="1">IF(AND($D42="Serviço",BA$12&lt;&gt;0,$H42&gt;0,OR(AUTOEVENTO&lt;&gt;"manual",$M42&lt;&gt;1)),
IF(Import.TipoArredondamento&lt;&gt;"TransfereGOV",
ROUND(OFFSET($P42,0,BA$13),15-13*ORÇAMENTO!$AF$7)/$H42*OFFSET(ORÇAMENTO!$X$15,ROW(BA42)-ROW(BA$15),0),
ROUND(ROUND(OFFSET($P42,0,BA$13),15-13*ORÇAMENTO!$AF$7)*OFFSET(ORÇAMENTO!$W$15,ROW(BA42)-ROW(BA$15),0),15-13*ORÇAMENTO!$AF$11)),0)</f>
        <v>0</v>
      </c>
      <c r="BC42" s="216">
        <f ca="1">IF($D42&lt;&gt;"Serviço",0,IF(AND(AUTOEVENTO="Manual",$M42=1),0,IF(OFFSET(CRONOPLE!$F$14,$M42,BC$13)="",10^12,OFFSET(CRONOPLE!$F$14,$M42,BC$13))))</f>
        <v>0</v>
      </c>
      <c r="BD42" s="216">
        <f ca="1">IF($D42&lt;&gt;"Serviço",0,IF(AND(AUTOEVENTO="Manual",$M42=1),0,IF(OFFSET(CRONOPLE!$F$14,$M42,BD$13)="",10^12,OFFSET(CRONOPLE!$F$14,$M42,BD$13))))</f>
        <v>0</v>
      </c>
      <c r="BE42" s="216">
        <f ca="1">IF($D42&lt;&gt;"Serviço",0,IF(AND(AUTOEVENTO="Manual",$M42=1),0,IF(OFFSET(CRONOPLE!$F$14,$M42,BE$13)="",10^12,OFFSET(CRONOPLE!$F$14,$M42,BE$13))))</f>
        <v>0</v>
      </c>
      <c r="BF42" s="216">
        <f ca="1">IF($D42&lt;&gt;"Serviço",0,IF(AND(AUTOEVENTO="Manual",$M42=1),0,IF(OFFSET(CRONOPLE!$F$14,$M42,BF$13)="",10^12,OFFSET(CRONOPLE!$F$14,$M42,BF$13))))</f>
        <v>0</v>
      </c>
      <c r="BG42" s="216">
        <f ca="1">IF($D42&lt;&gt;"Serviço",0,IF(AND(AUTOEVENTO="Manual",$M42=1),0,IF(OFFSET(CRONOPLE!$F$14,$M42,BG$13)="",10^12,OFFSET(CRONOPLE!$F$14,$M42,BG$13))))</f>
        <v>0</v>
      </c>
      <c r="BH42" s="216">
        <f ca="1">IF($D42&lt;&gt;"Serviço",0,IF(AND(AUTOEVENTO="Manual",$M42=1),0,IF(OFFSET(CRONOPLE!$F$14,$M42,BH$13)="",10^12,OFFSET(CRONOPLE!$F$14,$M42,BH$13))))</f>
        <v>0</v>
      </c>
      <c r="BI42" s="216">
        <f ca="1">IF($D42&lt;&gt;"Serviço",0,IF(AND(AUTOEVENTO="Manual",$M42=1),0,IF(OFFSET(CRONOPLE!$F$14,$M42,BI$13)="",10^12,OFFSET(CRONOPLE!$F$14,$M42,BI$13))))</f>
        <v>0</v>
      </c>
      <c r="BJ42" s="216">
        <f ca="1">IF($D42&lt;&gt;"Serviço",0,IF(AND(AUTOEVENTO="Manual",$M42=1),0,IF(OFFSET(CRONOPLE!$F$14,$M42,BJ$13)="",10^12,OFFSET(CRONOPLE!$F$14,$M42,BJ$13))))</f>
        <v>0</v>
      </c>
      <c r="BK42" s="216">
        <f ca="1">IF($D42&lt;&gt;"Serviço",0,IF(AND(AUTOEVENTO="Manual",$M42=1),0,IF(OFFSET(CRONOPLE!$F$14,$M42,BK$13)="",10^12,OFFSET(CRONOPLE!$F$14,$M42,BK$13))))</f>
        <v>0</v>
      </c>
      <c r="BL42" s="216">
        <f ca="1">IF($D42&lt;&gt;"Serviço",0,IF(AND(AUTOEVENTO="Manual",$M42=1),0,IF(OFFSET(CRONOPLE!$F$14,$M42,BL$13)="",10^12,OFFSET(CRONOPLE!$F$14,$M42,BL$13))))</f>
        <v>0</v>
      </c>
      <c r="BM42" s="216">
        <f ca="1">IF($D42&lt;&gt;"Serviço",0,IF(AND(AUTOEVENTO="Manual",$M42=1),0,IF(OFFSET(CRONOPLE!$F$14,$M42,BM$13)="",10^12,OFFSET(CRONOPLE!$F$14,$M42,BM$13))))</f>
        <v>0</v>
      </c>
      <c r="BN42" s="216">
        <f ca="1">IF($D42&lt;&gt;"Serviço",0,IF(AND(AUTOEVENTO="Manual",$M42=1),0,IF(OFFSET(CRONOPLE!$F$14,$M42,BN$13)="",10^12,OFFSET(CRONOPLE!$F$14,$M42,BN$13))))</f>
        <v>0</v>
      </c>
      <c r="BO42" s="216">
        <f ca="1">IF($D42&lt;&gt;"Serviço",0,IF(AND(AUTOEVENTO="Manual",$M42=1),0,IF(OFFSET(CRONOPLE!$F$14,$M42,BO$13)="",10^12,OFFSET(CRONOPLE!$F$14,$M42,BO$13))))</f>
        <v>0</v>
      </c>
      <c r="BP42" s="216">
        <f ca="1">IF($D42&lt;&gt;"Serviço",0,IF(AND(AUTOEVENTO="Manual",$M42=1),0,IF(OFFSET(CRONOPLE!$F$14,$M42,BP$13)="",10^12,OFFSET(CRONOPLE!$F$14,$M42,BP$13))))</f>
        <v>0</v>
      </c>
      <c r="BQ42" s="216">
        <f ca="1">IF($D42&lt;&gt;"Serviço",0,IF(AND(AUTOEVENTO="Manual",$M42=1),0,IF(OFFSET(CRONOPLE!$F$14,$M42,BQ$13)="",10^12,OFFSET(CRONOPLE!$F$14,$M42,BQ$13))))</f>
        <v>0</v>
      </c>
      <c r="BR42" s="216">
        <f ca="1">IF($D42&lt;&gt;"Serviço",0,IF(AND(AUTOEVENTO="Manual",$M42=1),0,IF(OFFSET(CRONOPLE!$F$14,$M42,BR$13)="",10^12,OFFSET(CRONOPLE!$F$14,$M42,BR$13))))</f>
        <v>0</v>
      </c>
      <c r="BS42" s="216">
        <f ca="1">IF($D42&lt;&gt;"Serviço",0,IF(AND(AUTOEVENTO="Manual",$M42=1),0,IF(OFFSET(CRONOPLE!$F$14,$M42,BS$13)="",10^12,OFFSET(CRONOPLE!$F$14,$M42,BS$13))))</f>
        <v>0</v>
      </c>
      <c r="BT42" s="216">
        <f ca="1">IF($D42&lt;&gt;"Serviço",0,IF(AND(AUTOEVENTO="Manual",$M42=1),0,IF(OFFSET(CRONOPLE!$F$14,$M42,BT$13)="",10^12,OFFSET(CRONOPLE!$F$14,$M42,BT$13))))</f>
        <v>0</v>
      </c>
      <c r="BV42" s="217">
        <f ca="1">IF($D42&lt;&gt;"Serviço",0,IF(OR(AND(AUTOEVENTO="Manual",$M42=1),$M42&gt;(ROW(PLE.lastrow)-ROW(PLE.firstrow))),0,IF(OFFSET(PLE!$G$14,$M42,BV$13)="",10^12,OFFSET(PLE!$G$14,$M42,BV$13))))</f>
        <v>0</v>
      </c>
      <c r="BW42" s="217">
        <f ca="1">IF($D42&lt;&gt;"Serviço",0,IF(OR(AND(AUTOEVENTO="Manual",$M42=1),$M42&gt;(ROW(PLE.lastrow)-ROW(PLE.firstrow))),0,IF(OFFSET(PLE!$G$14,$M42,BW$13)="",10^12,OFFSET(PLE!$G$14,$M42,BW$13))))</f>
        <v>0</v>
      </c>
      <c r="BX42" s="217">
        <f ca="1">IF($D42&lt;&gt;"Serviço",0,IF(OR(AND(AUTOEVENTO="Manual",$M42=1),$M42&gt;(ROW(PLE.lastrow)-ROW(PLE.firstrow))),0,IF(OFFSET(PLE!$G$14,$M42,BX$13)="",10^12,OFFSET(PLE!$G$14,$M42,BX$13))))</f>
        <v>0</v>
      </c>
      <c r="BY42" s="217">
        <f ca="1">IF($D42&lt;&gt;"Serviço",0,IF(OR(AND(AUTOEVENTO="Manual",$M42=1),$M42&gt;(ROW(PLE.lastrow)-ROW(PLE.firstrow))),0,IF(OFFSET(PLE!$G$14,$M42,BY$13)="",10^12,OFFSET(PLE!$G$14,$M42,BY$13))))</f>
        <v>0</v>
      </c>
      <c r="BZ42" s="217">
        <f ca="1">IF($D42&lt;&gt;"Serviço",0,IF(OR(AND(AUTOEVENTO="Manual",$M42=1),$M42&gt;(ROW(PLE.lastrow)-ROW(PLE.firstrow))),0,IF(OFFSET(PLE!$G$14,$M42,BZ$13)="",10^12,OFFSET(PLE!$G$14,$M42,BZ$13))))</f>
        <v>0</v>
      </c>
      <c r="CA42" s="217">
        <f ca="1">IF($D42&lt;&gt;"Serviço",0,IF(OR(AND(AUTOEVENTO="Manual",$M42=1),$M42&gt;(ROW(PLE.lastrow)-ROW(PLE.firstrow))),0,IF(OFFSET(PLE!$G$14,$M42,CA$13)="",10^12,OFFSET(PLE!$G$14,$M42,CA$13))))</f>
        <v>0</v>
      </c>
      <c r="CB42" s="217">
        <f ca="1">IF($D42&lt;&gt;"Serviço",0,IF(OR(AND(AUTOEVENTO="Manual",$M42=1),$M42&gt;(ROW(PLE.lastrow)-ROW(PLE.firstrow))),0,IF(OFFSET(PLE!$G$14,$M42,CB$13)="",10^12,OFFSET(PLE!$G$14,$M42,CB$13))))</f>
        <v>0</v>
      </c>
      <c r="CC42" s="217">
        <f ca="1">IF($D42&lt;&gt;"Serviço",0,IF(OR(AND(AUTOEVENTO="Manual",$M42=1),$M42&gt;(ROW(PLE.lastrow)-ROW(PLE.firstrow))),0,IF(OFFSET(PLE!$G$14,$M42,CC$13)="",10^12,OFFSET(PLE!$G$14,$M42,CC$13))))</f>
        <v>0</v>
      </c>
      <c r="CD42" s="217">
        <f ca="1">IF($D42&lt;&gt;"Serviço",0,IF(OR(AND(AUTOEVENTO="Manual",$M42=1),$M42&gt;(ROW(PLE.lastrow)-ROW(PLE.firstrow))),0,IF(OFFSET(PLE!$G$14,$M42,CD$13)="",10^12,OFFSET(PLE!$G$14,$M42,CD$13))))</f>
        <v>0</v>
      </c>
      <c r="CE42" s="217">
        <f ca="1">IF($D42&lt;&gt;"Serviço",0,IF(OR(AND(AUTOEVENTO="Manual",$M42=1),$M42&gt;(ROW(PLE.lastrow)-ROW(PLE.firstrow))),0,IF(OFFSET(PLE!$G$14,$M42,CE$13)="",10^12,OFFSET(PLE!$G$14,$M42,CE$13))))</f>
        <v>0</v>
      </c>
      <c r="CF42" s="217">
        <f ca="1">IF($D42&lt;&gt;"Serviço",0,IF(OR(AND(AUTOEVENTO="Manual",$M42=1),$M42&gt;(ROW(PLE.lastrow)-ROW(PLE.firstrow))),0,IF(OFFSET(PLE!$G$14,$M42,CF$13)="",10^12,OFFSET(PLE!$G$14,$M42,CF$13))))</f>
        <v>0</v>
      </c>
      <c r="CG42" s="217">
        <f ca="1">IF($D42&lt;&gt;"Serviço",0,IF(OR(AND(AUTOEVENTO="Manual",$M42=1),$M42&gt;(ROW(PLE.lastrow)-ROW(PLE.firstrow))),0,IF(OFFSET(PLE!$G$14,$M42,CG$13)="",10^12,OFFSET(PLE!$G$14,$M42,CG$13))))</f>
        <v>0</v>
      </c>
      <c r="CH42" s="217">
        <f ca="1">IF($D42&lt;&gt;"Serviço",0,IF(OR(AND(AUTOEVENTO="Manual",$M42=1),$M42&gt;(ROW(PLE.lastrow)-ROW(PLE.firstrow))),0,IF(OFFSET(PLE!$G$14,$M42,CH$13)="",10^12,OFFSET(PLE!$G$14,$M42,CH$13))))</f>
        <v>0</v>
      </c>
      <c r="CI42" s="217">
        <f ca="1">IF($D42&lt;&gt;"Serviço",0,IF(OR(AND(AUTOEVENTO="Manual",$M42=1),$M42&gt;(ROW(PLE.lastrow)-ROW(PLE.firstrow))),0,IF(OFFSET(PLE!$G$14,$M42,CI$13)="",10^12,OFFSET(PLE!$G$14,$M42,CI$13))))</f>
        <v>0</v>
      </c>
      <c r="CJ42" s="217">
        <f ca="1">IF($D42&lt;&gt;"Serviço",0,IF(OR(AND(AUTOEVENTO="Manual",$M42=1),$M42&gt;(ROW(PLE.lastrow)-ROW(PLE.firstrow))),0,IF(OFFSET(PLE!$G$14,$M42,CJ$13)="",10^12,OFFSET(PLE!$G$14,$M42,CJ$13))))</f>
        <v>0</v>
      </c>
      <c r="CK42" s="217">
        <f ca="1">IF($D42&lt;&gt;"Serviço",0,IF(OR(AND(AUTOEVENTO="Manual",$M42=1),$M42&gt;(ROW(PLE.lastrow)-ROW(PLE.firstrow))),0,IF(OFFSET(PLE!$G$14,$M42,CK$13)="",10^12,OFFSET(PLE!$G$14,$M42,CK$13))))</f>
        <v>0</v>
      </c>
      <c r="CL42" s="217">
        <f ca="1">IF($D42&lt;&gt;"Serviço",0,IF(OR(AND(AUTOEVENTO="Manual",$M42=1),$M42&gt;(ROW(PLE.lastrow)-ROW(PLE.firstrow))),0,IF(OFFSET(PLE!$G$14,$M42,CL$13)="",10^12,OFFSET(PLE!$G$14,$M42,CL$13))))</f>
        <v>0</v>
      </c>
      <c r="CM42" s="217">
        <f ca="1">IF($D42&lt;&gt;"Serviço",0,IF(OR(AND(AUTOEVENTO="Manual",$M42=1),$M42&gt;(ROW(PLE.lastrow)-ROW(PLE.firstrow))),0,IF(OFFSET(PLE!$G$14,$M42,CM$13)="",10^12,OFFSET(PLE!$G$14,$M42,CM$13))))</f>
        <v>0</v>
      </c>
    </row>
    <row r="43" spans="1:91" ht="25.5" x14ac:dyDescent="0.2">
      <c r="A43" s="9" t="str">
        <f t="shared" ca="1" si="9"/>
        <v>27</v>
      </c>
      <c r="B43" s="9" t="str">
        <f ca="1">OFFSET(ORÇAMENTO!C$15,ROW(B43)-ROW(B$15),0)</f>
        <v>S</v>
      </c>
      <c r="C43" s="9" t="str">
        <f ca="1">OFFSET(ORÇAMENTO!L$15,ROW(C43)-ROW(C$15),0)</f>
        <v/>
      </c>
      <c r="D43" s="146" t="str">
        <f ca="1">OFFSET(ORÇAMENTO!N$15,ROW(D43)-ROW(D$15),0)</f>
        <v>Serviço</v>
      </c>
      <c r="E43" s="206" t="str">
        <f ca="1">OFFSET(ORÇAMENTO!O$15,ROW(E43)-ROW(E$15),0)</f>
        <v>-</v>
      </c>
      <c r="F43" s="207" t="str">
        <f ca="1">OFFSET(ORÇAMENTO!R$15,ROW(F43)-ROW(F$15),0)</f>
        <v>(abra o arquivo 'Referência 12-2023.xlsm)</v>
      </c>
      <c r="G43" s="208" t="str">
        <f ca="1">IF($D43&lt;&gt;"Serviço","",OFFSET(ORÇAMENTO!S$15,ROW(G43)-ROW(G$15),0))</f>
        <v>-</v>
      </c>
      <c r="H43" s="152">
        <f ca="1">IF($D43&lt;&gt;"Serviço",0,IF(ACOMPANHAMENTO="BM",ROUND(OFFSET(ORÇAMENTO!AJ$15,ROW(H43)-ROW(H$15),0),15-13*ORÇAMENTO!$AF$7),SUMPRODUCT(($Q$12:$AI$12&lt;&gt;"")*ROUND($Q43:$AI43,15-13*ORÇAMENTO!$AF$7))))</f>
        <v>812.84999999999991</v>
      </c>
      <c r="I43" s="649" t="s">
        <v>504</v>
      </c>
      <c r="K43" s="209"/>
      <c r="L43" s="210" t="s">
        <v>255</v>
      </c>
      <c r="M43" s="211">
        <f ca="1">IF($D43&lt;&gt;"Serviço","",IF(AUTOEVENTO="manual",$A43,IF(ISERROR(MATCH($A43,$A$15:OFFSET($A43,-1,0),0)),MAX($M$15:OFFSET(M43,-1,0))+1,INDEX($M$15:OFFSET(M43,-1,0),MATCH($A43,$A$15:OFFSET($A43,-1,0),0)))))</f>
        <v>8</v>
      </c>
      <c r="N43" s="212" t="str">
        <f ca="1">IF($D43&lt;&gt;"Serviço","",IF(AUTOEVENTO="Manual",IF($A43=0,"&lt;-- defina o número do agrupador",OFFSET(EVENTOS!$D$14,$A43,0)),OFFSET($F$15,$A43,0)))</f>
        <v>PASSEIO E SINALIZAÇÃO</v>
      </c>
      <c r="O43" s="213"/>
      <c r="Q43" s="213">
        <v>15.05</v>
      </c>
      <c r="R43" s="214">
        <v>73.290000000000006</v>
      </c>
      <c r="S43" s="214">
        <v>49.42</v>
      </c>
      <c r="T43" s="214">
        <v>107.96</v>
      </c>
      <c r="U43" s="214">
        <v>201.8</v>
      </c>
      <c r="V43" s="214">
        <v>12.54</v>
      </c>
      <c r="W43" s="214">
        <v>12.88</v>
      </c>
      <c r="X43" s="214">
        <v>106.96</v>
      </c>
      <c r="Y43" s="215">
        <v>41.78</v>
      </c>
      <c r="Z43" s="214">
        <v>110.23</v>
      </c>
      <c r="AA43" s="214">
        <v>73.63</v>
      </c>
      <c r="AB43" s="214">
        <v>7.31</v>
      </c>
      <c r="AC43" s="214"/>
      <c r="AD43" s="214"/>
      <c r="AE43" s="214"/>
      <c r="AF43" s="214"/>
      <c r="AG43" s="214"/>
      <c r="AH43" s="215"/>
      <c r="AJ43" s="630">
        <f ca="1">IF(AND($D43="Serviço",AJ$12&lt;&gt;0,$H43&gt;0,OR(AUTOEVENTO&lt;&gt;"manual",$M43&lt;&gt;1)),
IF(Import.TipoArredondamento&lt;&gt;"TransfereGOV",
ROUND(OFFSET($P43,0,AJ$13),15-13*ORÇAMENTO!$AF$7)/$H43*OFFSET(ORÇAMENTO!$X$15,ROW(AJ43)-ROW(AJ$15),0),
ROUND(ROUND(OFFSET($P43,0,AJ$13),15-13*ORÇAMENTO!$AF$7)*OFFSET(ORÇAMENTO!$W$15,ROW(AJ43)-ROW(AJ$15),0),15-13*ORÇAMENTO!$AF$11)),0)</f>
        <v>0</v>
      </c>
      <c r="AK43" s="631">
        <f ca="1">IF(AND($D43="Serviço",AK$12&lt;&gt;0,$H43&gt;0,OR(AUTOEVENTO&lt;&gt;"manual",$M43&lt;&gt;1)),
IF(Import.TipoArredondamento&lt;&gt;"TransfereGOV",
ROUND(OFFSET($P43,0,AK$13),15-13*ORÇAMENTO!$AF$7)/$H43*OFFSET(ORÇAMENTO!$X$15,ROW(AK43)-ROW(AK$15),0),
ROUND(ROUND(OFFSET($P43,0,AK$13),15-13*ORÇAMENTO!$AF$7)*OFFSET(ORÇAMENTO!$W$15,ROW(AK43)-ROW(AK$15),0),15-13*ORÇAMENTO!$AF$11)),0)</f>
        <v>0</v>
      </c>
      <c r="AL43" s="631">
        <f ca="1">IF(AND($D43="Serviço",AL$12&lt;&gt;0,$H43&gt;0,OR(AUTOEVENTO&lt;&gt;"manual",$M43&lt;&gt;1)),
IF(Import.TipoArredondamento&lt;&gt;"TransfereGOV",
ROUND(OFFSET($P43,0,AL$13),15-13*ORÇAMENTO!$AF$7)/$H43*OFFSET(ORÇAMENTO!$X$15,ROW(AL43)-ROW(AL$15),0),
ROUND(ROUND(OFFSET($P43,0,AL$13),15-13*ORÇAMENTO!$AF$7)*OFFSET(ORÇAMENTO!$W$15,ROW(AL43)-ROW(AL$15),0),15-13*ORÇAMENTO!$AF$11)),0)</f>
        <v>0</v>
      </c>
      <c r="AM43" s="631">
        <f ca="1">IF(AND($D43="Serviço",AM$12&lt;&gt;0,$H43&gt;0,OR(AUTOEVENTO&lt;&gt;"manual",$M43&lt;&gt;1)),
IF(Import.TipoArredondamento&lt;&gt;"TransfereGOV",
ROUND(OFFSET($P43,0,AM$13),15-13*ORÇAMENTO!$AF$7)/$H43*OFFSET(ORÇAMENTO!$X$15,ROW(AM43)-ROW(AM$15),0),
ROUND(ROUND(OFFSET($P43,0,AM$13),15-13*ORÇAMENTO!$AF$7)*OFFSET(ORÇAMENTO!$W$15,ROW(AM43)-ROW(AM$15),0),15-13*ORÇAMENTO!$AF$11)),0)</f>
        <v>0</v>
      </c>
      <c r="AN43" s="631">
        <f ca="1">IF(AND($D43="Serviço",AN$12&lt;&gt;0,$H43&gt;0,OR(AUTOEVENTO&lt;&gt;"manual",$M43&lt;&gt;1)),
IF(Import.TipoArredondamento&lt;&gt;"TransfereGOV",
ROUND(OFFSET($P43,0,AN$13),15-13*ORÇAMENTO!$AF$7)/$H43*OFFSET(ORÇAMENTO!$X$15,ROW(AN43)-ROW(AN$15),0),
ROUND(ROUND(OFFSET($P43,0,AN$13),15-13*ORÇAMENTO!$AF$7)*OFFSET(ORÇAMENTO!$W$15,ROW(AN43)-ROW(AN$15),0),15-13*ORÇAMENTO!$AF$11)),0)</f>
        <v>0</v>
      </c>
      <c r="AO43" s="631">
        <f ca="1">IF(AND($D43="Serviço",AO$12&lt;&gt;0,$H43&gt;0,OR(AUTOEVENTO&lt;&gt;"manual",$M43&lt;&gt;1)),
IF(Import.TipoArredondamento&lt;&gt;"TransfereGOV",
ROUND(OFFSET($P43,0,AO$13),15-13*ORÇAMENTO!$AF$7)/$H43*OFFSET(ORÇAMENTO!$X$15,ROW(AO43)-ROW(AO$15),0),
ROUND(ROUND(OFFSET($P43,0,AO$13),15-13*ORÇAMENTO!$AF$7)*OFFSET(ORÇAMENTO!$W$15,ROW(AO43)-ROW(AO$15),0),15-13*ORÇAMENTO!$AF$11)),0)</f>
        <v>0</v>
      </c>
      <c r="AP43" s="631">
        <f ca="1">IF(AND($D43="Serviço",AP$12&lt;&gt;0,$H43&gt;0,OR(AUTOEVENTO&lt;&gt;"manual",$M43&lt;&gt;1)),
IF(Import.TipoArredondamento&lt;&gt;"TransfereGOV",
ROUND(OFFSET($P43,0,AP$13),15-13*ORÇAMENTO!$AF$7)/$H43*OFFSET(ORÇAMENTO!$X$15,ROW(AP43)-ROW(AP$15),0),
ROUND(ROUND(OFFSET($P43,0,AP$13),15-13*ORÇAMENTO!$AF$7)*OFFSET(ORÇAMENTO!$W$15,ROW(AP43)-ROW(AP$15),0),15-13*ORÇAMENTO!$AF$11)),0)</f>
        <v>0</v>
      </c>
      <c r="AQ43" s="631">
        <f ca="1">IF(AND($D43="Serviço",AQ$12&lt;&gt;0,$H43&gt;0,OR(AUTOEVENTO&lt;&gt;"manual",$M43&lt;&gt;1)),
IF(Import.TipoArredondamento&lt;&gt;"TransfereGOV",
ROUND(OFFSET($P43,0,AQ$13),15-13*ORÇAMENTO!$AF$7)/$H43*OFFSET(ORÇAMENTO!$X$15,ROW(AQ43)-ROW(AQ$15),0),
ROUND(ROUND(OFFSET($P43,0,AQ$13),15-13*ORÇAMENTO!$AF$7)*OFFSET(ORÇAMENTO!$W$15,ROW(AQ43)-ROW(AQ$15),0),15-13*ORÇAMENTO!$AF$11)),0)</f>
        <v>0</v>
      </c>
      <c r="AR43" s="631">
        <f ca="1">IF(AND($D43="Serviço",AR$12&lt;&gt;0,$H43&gt;0,OR(AUTOEVENTO&lt;&gt;"manual",$M43&lt;&gt;1)),
IF(Import.TipoArredondamento&lt;&gt;"TransfereGOV",
ROUND(OFFSET($P43,0,AR$13),15-13*ORÇAMENTO!$AF$7)/$H43*OFFSET(ORÇAMENTO!$X$15,ROW(AR43)-ROW(AR$15),0),
ROUND(ROUND(OFFSET($P43,0,AR$13),15-13*ORÇAMENTO!$AF$7)*OFFSET(ORÇAMENTO!$W$15,ROW(AR43)-ROW(AR$15),0),15-13*ORÇAMENTO!$AF$11)),0)</f>
        <v>0</v>
      </c>
      <c r="AS43" s="632">
        <f ca="1">IF(AND($D43="Serviço",AS$12&lt;&gt;0,$H43&gt;0,OR(AUTOEVENTO&lt;&gt;"manual",$M43&lt;&gt;1)),
IF(Import.TipoArredondamento&lt;&gt;"TransfereGOV",
ROUND(OFFSET($P43,0,AS$13),15-13*ORÇAMENTO!$AF$7)/$H43*OFFSET(ORÇAMENTO!$X$15,ROW(AS43)-ROW(AS$15),0),
ROUND(ROUND(OFFSET($P43,0,AS$13),15-13*ORÇAMENTO!$AF$7)*OFFSET(ORÇAMENTO!$W$15,ROW(AS43)-ROW(AS$15),0),15-13*ORÇAMENTO!$AF$11)),0)</f>
        <v>0</v>
      </c>
      <c r="AT43" s="631">
        <f ca="1">IF(AND($D43="Serviço",AT$12&lt;&gt;0,$H43&gt;0,OR(AUTOEVENTO&lt;&gt;"manual",$M43&lt;&gt;1)),
IF(Import.TipoArredondamento&lt;&gt;"TransfereGOV",
ROUND(OFFSET($P43,0,AT$13),15-13*ORÇAMENTO!$AF$7)/$H43*OFFSET(ORÇAMENTO!$X$15,ROW(AT43)-ROW(AT$15),0),
ROUND(ROUND(OFFSET($P43,0,AT$13),15-13*ORÇAMENTO!$AF$7)*OFFSET(ORÇAMENTO!$W$15,ROW(AT43)-ROW(AT$15),0),15-13*ORÇAMENTO!$AF$11)),0)</f>
        <v>0</v>
      </c>
      <c r="AU43" s="631">
        <f ca="1">IF(AND($D43="Serviço",AU$12&lt;&gt;0,$H43&gt;0,OR(AUTOEVENTO&lt;&gt;"manual",$M43&lt;&gt;1)),
IF(Import.TipoArredondamento&lt;&gt;"TransfereGOV",
ROUND(OFFSET($P43,0,AU$13),15-13*ORÇAMENTO!$AF$7)/$H43*OFFSET(ORÇAMENTO!$X$15,ROW(AU43)-ROW(AU$15),0),
ROUND(ROUND(OFFSET($P43,0,AU$13),15-13*ORÇAMENTO!$AF$7)*OFFSET(ORÇAMENTO!$W$15,ROW(AU43)-ROW(AU$15),0),15-13*ORÇAMENTO!$AF$11)),0)</f>
        <v>0</v>
      </c>
      <c r="AV43" s="631">
        <f ca="1">IF(AND($D43="Serviço",AV$12&lt;&gt;0,$H43&gt;0,OR(AUTOEVENTO&lt;&gt;"manual",$M43&lt;&gt;1)),
IF(Import.TipoArredondamento&lt;&gt;"TransfereGOV",
ROUND(OFFSET($P43,0,AV$13),15-13*ORÇAMENTO!$AF$7)/$H43*OFFSET(ORÇAMENTO!$X$15,ROW(AV43)-ROW(AV$15),0),
ROUND(ROUND(OFFSET($P43,0,AV$13),15-13*ORÇAMENTO!$AF$7)*OFFSET(ORÇAMENTO!$W$15,ROW(AV43)-ROW(AV$15),0),15-13*ORÇAMENTO!$AF$11)),0)</f>
        <v>0</v>
      </c>
      <c r="AW43" s="631">
        <f ca="1">IF(AND($D43="Serviço",AW$12&lt;&gt;0,$H43&gt;0,OR(AUTOEVENTO&lt;&gt;"manual",$M43&lt;&gt;1)),
IF(Import.TipoArredondamento&lt;&gt;"TransfereGOV",
ROUND(OFFSET($P43,0,AW$13),15-13*ORÇAMENTO!$AF$7)/$H43*OFFSET(ORÇAMENTO!$X$15,ROW(AW43)-ROW(AW$15),0),
ROUND(ROUND(OFFSET($P43,0,AW$13),15-13*ORÇAMENTO!$AF$7)*OFFSET(ORÇAMENTO!$W$15,ROW(AW43)-ROW(AW$15),0),15-13*ORÇAMENTO!$AF$11)),0)</f>
        <v>0</v>
      </c>
      <c r="AX43" s="631">
        <f ca="1">IF(AND($D43="Serviço",AX$12&lt;&gt;0,$H43&gt;0,OR(AUTOEVENTO&lt;&gt;"manual",$M43&lt;&gt;1)),
IF(Import.TipoArredondamento&lt;&gt;"TransfereGOV",
ROUND(OFFSET($P43,0,AX$13),15-13*ORÇAMENTO!$AF$7)/$H43*OFFSET(ORÇAMENTO!$X$15,ROW(AX43)-ROW(AX$15),0),
ROUND(ROUND(OFFSET($P43,0,AX$13),15-13*ORÇAMENTO!$AF$7)*OFFSET(ORÇAMENTO!$W$15,ROW(AX43)-ROW(AX$15),0),15-13*ORÇAMENTO!$AF$11)),0)</f>
        <v>0</v>
      </c>
      <c r="AY43" s="631">
        <f ca="1">IF(AND($D43="Serviço",AY$12&lt;&gt;0,$H43&gt;0,OR(AUTOEVENTO&lt;&gt;"manual",$M43&lt;&gt;1)),
IF(Import.TipoArredondamento&lt;&gt;"TransfereGOV",
ROUND(OFFSET($P43,0,AY$13),15-13*ORÇAMENTO!$AF$7)/$H43*OFFSET(ORÇAMENTO!$X$15,ROW(AY43)-ROW(AY$15),0),
ROUND(ROUND(OFFSET($P43,0,AY$13),15-13*ORÇAMENTO!$AF$7)*OFFSET(ORÇAMENTO!$W$15,ROW(AY43)-ROW(AY$15),0),15-13*ORÇAMENTO!$AF$11)),0)</f>
        <v>0</v>
      </c>
      <c r="AZ43" s="631">
        <f ca="1">IF(AND($D43="Serviço",AZ$12&lt;&gt;0,$H43&gt;0,OR(AUTOEVENTO&lt;&gt;"manual",$M43&lt;&gt;1)),
IF(Import.TipoArredondamento&lt;&gt;"TransfereGOV",
ROUND(OFFSET($P43,0,AZ$13),15-13*ORÇAMENTO!$AF$7)/$H43*OFFSET(ORÇAMENTO!$X$15,ROW(AZ43)-ROW(AZ$15),0),
ROUND(ROUND(OFFSET($P43,0,AZ$13),15-13*ORÇAMENTO!$AF$7)*OFFSET(ORÇAMENTO!$W$15,ROW(AZ43)-ROW(AZ$15),0),15-13*ORÇAMENTO!$AF$11)),0)</f>
        <v>0</v>
      </c>
      <c r="BA43" s="632">
        <f ca="1">IF(AND($D43="Serviço",BA$12&lt;&gt;0,$H43&gt;0,OR(AUTOEVENTO&lt;&gt;"manual",$M43&lt;&gt;1)),
IF(Import.TipoArredondamento&lt;&gt;"TransfereGOV",
ROUND(OFFSET($P43,0,BA$13),15-13*ORÇAMENTO!$AF$7)/$H43*OFFSET(ORÇAMENTO!$X$15,ROW(BA43)-ROW(BA$15),0),
ROUND(ROUND(OFFSET($P43,0,BA$13),15-13*ORÇAMENTO!$AF$7)*OFFSET(ORÇAMENTO!$W$15,ROW(BA43)-ROW(BA$15),0),15-13*ORÇAMENTO!$AF$11)),0)</f>
        <v>0</v>
      </c>
      <c r="BC43" s="216">
        <f ca="1">IF($D43&lt;&gt;"Serviço",0,IF(AND(AUTOEVENTO="Manual",$M43=1),0,IF(OFFSET(CRONOPLE!$F$14,$M43,BC$13)="",10^12,OFFSET(CRONOPLE!$F$14,$M43,BC$13))))</f>
        <v>7</v>
      </c>
      <c r="BD43" s="216">
        <f ca="1">IF($D43&lt;&gt;"Serviço",0,IF(AND(AUTOEVENTO="Manual",$M43=1),0,IF(OFFSET(CRONOPLE!$F$14,$M43,BD$13)="",10^12,OFFSET(CRONOPLE!$F$14,$M43,BD$13))))</f>
        <v>7</v>
      </c>
      <c r="BE43" s="216">
        <f ca="1">IF($D43&lt;&gt;"Serviço",0,IF(AND(AUTOEVENTO="Manual",$M43=1),0,IF(OFFSET(CRONOPLE!$F$14,$M43,BE$13)="",10^12,OFFSET(CRONOPLE!$F$14,$M43,BE$13))))</f>
        <v>7</v>
      </c>
      <c r="BF43" s="216">
        <f ca="1">IF($D43&lt;&gt;"Serviço",0,IF(AND(AUTOEVENTO="Manual",$M43=1),0,IF(OFFSET(CRONOPLE!$F$14,$M43,BF$13)="",10^12,OFFSET(CRONOPLE!$F$14,$M43,BF$13))))</f>
        <v>7</v>
      </c>
      <c r="BG43" s="216">
        <f ca="1">IF($D43&lt;&gt;"Serviço",0,IF(AND(AUTOEVENTO="Manual",$M43=1),0,IF(OFFSET(CRONOPLE!$F$14,$M43,BG$13)="",10^12,OFFSET(CRONOPLE!$F$14,$M43,BG$13))))</f>
        <v>7</v>
      </c>
      <c r="BH43" s="216">
        <f ca="1">IF($D43&lt;&gt;"Serviço",0,IF(AND(AUTOEVENTO="Manual",$M43=1),0,IF(OFFSET(CRONOPLE!$F$14,$M43,BH$13)="",10^12,OFFSET(CRONOPLE!$F$14,$M43,BH$13))))</f>
        <v>7</v>
      </c>
      <c r="BI43" s="216">
        <f ca="1">IF($D43&lt;&gt;"Serviço",0,IF(AND(AUTOEVENTO="Manual",$M43=1),0,IF(OFFSET(CRONOPLE!$F$14,$M43,BI$13)="",10^12,OFFSET(CRONOPLE!$F$14,$M43,BI$13))))</f>
        <v>7</v>
      </c>
      <c r="BJ43" s="216">
        <f ca="1">IF($D43&lt;&gt;"Serviço",0,IF(AND(AUTOEVENTO="Manual",$M43=1),0,IF(OFFSET(CRONOPLE!$F$14,$M43,BJ$13)="",10^12,OFFSET(CRONOPLE!$F$14,$M43,BJ$13))))</f>
        <v>7</v>
      </c>
      <c r="BK43" s="216">
        <f ca="1">IF($D43&lt;&gt;"Serviço",0,IF(AND(AUTOEVENTO="Manual",$M43=1),0,IF(OFFSET(CRONOPLE!$F$14,$M43,BK$13)="",10^12,OFFSET(CRONOPLE!$F$14,$M43,BK$13))))</f>
        <v>7</v>
      </c>
      <c r="BL43" s="216">
        <f ca="1">IF($D43&lt;&gt;"Serviço",0,IF(AND(AUTOEVENTO="Manual",$M43=1),0,IF(OFFSET(CRONOPLE!$F$14,$M43,BL$13)="",10^12,OFFSET(CRONOPLE!$F$14,$M43,BL$13))))</f>
        <v>7</v>
      </c>
      <c r="BM43" s="216">
        <f ca="1">IF($D43&lt;&gt;"Serviço",0,IF(AND(AUTOEVENTO="Manual",$M43=1),0,IF(OFFSET(CRONOPLE!$F$14,$M43,BM$13)="",10^12,OFFSET(CRONOPLE!$F$14,$M43,BM$13))))</f>
        <v>7</v>
      </c>
      <c r="BN43" s="216">
        <f ca="1">IF($D43&lt;&gt;"Serviço",0,IF(AND(AUTOEVENTO="Manual",$M43=1),0,IF(OFFSET(CRONOPLE!$F$14,$M43,BN$13)="",10^12,OFFSET(CRONOPLE!$F$14,$M43,BN$13))))</f>
        <v>7</v>
      </c>
      <c r="BO43" s="216">
        <f ca="1">IF($D43&lt;&gt;"Serviço",0,IF(AND(AUTOEVENTO="Manual",$M43=1),0,IF(OFFSET(CRONOPLE!$F$14,$M43,BO$13)="",10^12,OFFSET(CRONOPLE!$F$14,$M43,BO$13))))</f>
        <v>7</v>
      </c>
      <c r="BP43" s="216">
        <f ca="1">IF($D43&lt;&gt;"Serviço",0,IF(AND(AUTOEVENTO="Manual",$M43=1),0,IF(OFFSET(CRONOPLE!$F$14,$M43,BP$13)="",10^12,OFFSET(CRONOPLE!$F$14,$M43,BP$13))))</f>
        <v>1000000000000</v>
      </c>
      <c r="BQ43" s="216">
        <f ca="1">IF($D43&lt;&gt;"Serviço",0,IF(AND(AUTOEVENTO="Manual",$M43=1),0,IF(OFFSET(CRONOPLE!$F$14,$M43,BQ$13)="",10^12,OFFSET(CRONOPLE!$F$14,$M43,BQ$13))))</f>
        <v>1000000000000</v>
      </c>
      <c r="BR43" s="216">
        <f ca="1">IF($D43&lt;&gt;"Serviço",0,IF(AND(AUTOEVENTO="Manual",$M43=1),0,IF(OFFSET(CRONOPLE!$F$14,$M43,BR$13)="",10^12,OFFSET(CRONOPLE!$F$14,$M43,BR$13))))</f>
        <v>1000000000000</v>
      </c>
      <c r="BS43" s="216">
        <f ca="1">IF($D43&lt;&gt;"Serviço",0,IF(AND(AUTOEVENTO="Manual",$M43=1),0,IF(OFFSET(CRONOPLE!$F$14,$M43,BS$13)="",10^12,OFFSET(CRONOPLE!$F$14,$M43,BS$13))))</f>
        <v>1000000000000</v>
      </c>
      <c r="BT43" s="216">
        <f ca="1">IF($D43&lt;&gt;"Serviço",0,IF(AND(AUTOEVENTO="Manual",$M43=1),0,IF(OFFSET(CRONOPLE!$F$14,$M43,BT$13)="",10^12,OFFSET(CRONOPLE!$F$14,$M43,BT$13))))</f>
        <v>1000000000000</v>
      </c>
      <c r="BV43" s="217">
        <f ca="1">IF($D43&lt;&gt;"Serviço",0,IF(OR(AND(AUTOEVENTO="Manual",$M43=1),$M43&gt;(ROW(PLE.lastrow)-ROW(PLE.firstrow))),0,IF(OFFSET(PLE!$G$14,$M43,BV$13)="",10^12,OFFSET(PLE!$G$14,$M43,BV$13))))</f>
        <v>1000000000000</v>
      </c>
      <c r="BW43" s="217">
        <f ca="1">IF($D43&lt;&gt;"Serviço",0,IF(OR(AND(AUTOEVENTO="Manual",$M43=1),$M43&gt;(ROW(PLE.lastrow)-ROW(PLE.firstrow))),0,IF(OFFSET(PLE!$G$14,$M43,BW$13)="",10^12,OFFSET(PLE!$G$14,$M43,BW$13))))</f>
        <v>1000000000000</v>
      </c>
      <c r="BX43" s="217">
        <f ca="1">IF($D43&lt;&gt;"Serviço",0,IF(OR(AND(AUTOEVENTO="Manual",$M43=1),$M43&gt;(ROW(PLE.lastrow)-ROW(PLE.firstrow))),0,IF(OFFSET(PLE!$G$14,$M43,BX$13)="",10^12,OFFSET(PLE!$G$14,$M43,BX$13))))</f>
        <v>1000000000000</v>
      </c>
      <c r="BY43" s="217">
        <f ca="1">IF($D43&lt;&gt;"Serviço",0,IF(OR(AND(AUTOEVENTO="Manual",$M43=1),$M43&gt;(ROW(PLE.lastrow)-ROW(PLE.firstrow))),0,IF(OFFSET(PLE!$G$14,$M43,BY$13)="",10^12,OFFSET(PLE!$G$14,$M43,BY$13))))</f>
        <v>1000000000000</v>
      </c>
      <c r="BZ43" s="217">
        <f ca="1">IF($D43&lt;&gt;"Serviço",0,IF(OR(AND(AUTOEVENTO="Manual",$M43=1),$M43&gt;(ROW(PLE.lastrow)-ROW(PLE.firstrow))),0,IF(OFFSET(PLE!$G$14,$M43,BZ$13)="",10^12,OFFSET(PLE!$G$14,$M43,BZ$13))))</f>
        <v>1000000000000</v>
      </c>
      <c r="CA43" s="217">
        <f ca="1">IF($D43&lt;&gt;"Serviço",0,IF(OR(AND(AUTOEVENTO="Manual",$M43=1),$M43&gt;(ROW(PLE.lastrow)-ROW(PLE.firstrow))),0,IF(OFFSET(PLE!$G$14,$M43,CA$13)="",10^12,OFFSET(PLE!$G$14,$M43,CA$13))))</f>
        <v>1000000000000</v>
      </c>
      <c r="CB43" s="217">
        <f ca="1">IF($D43&lt;&gt;"Serviço",0,IF(OR(AND(AUTOEVENTO="Manual",$M43=1),$M43&gt;(ROW(PLE.lastrow)-ROW(PLE.firstrow))),0,IF(OFFSET(PLE!$G$14,$M43,CB$13)="",10^12,OFFSET(PLE!$G$14,$M43,CB$13))))</f>
        <v>1000000000000</v>
      </c>
      <c r="CC43" s="217">
        <f ca="1">IF($D43&lt;&gt;"Serviço",0,IF(OR(AND(AUTOEVENTO="Manual",$M43=1),$M43&gt;(ROW(PLE.lastrow)-ROW(PLE.firstrow))),0,IF(OFFSET(PLE!$G$14,$M43,CC$13)="",10^12,OFFSET(PLE!$G$14,$M43,CC$13))))</f>
        <v>1000000000000</v>
      </c>
      <c r="CD43" s="217">
        <f ca="1">IF($D43&lt;&gt;"Serviço",0,IF(OR(AND(AUTOEVENTO="Manual",$M43=1),$M43&gt;(ROW(PLE.lastrow)-ROW(PLE.firstrow))),0,IF(OFFSET(PLE!$G$14,$M43,CD$13)="",10^12,OFFSET(PLE!$G$14,$M43,CD$13))))</f>
        <v>1000000000000</v>
      </c>
      <c r="CE43" s="217">
        <f ca="1">IF($D43&lt;&gt;"Serviço",0,IF(OR(AND(AUTOEVENTO="Manual",$M43=1),$M43&gt;(ROW(PLE.lastrow)-ROW(PLE.firstrow))),0,IF(OFFSET(PLE!$G$14,$M43,CE$13)="",10^12,OFFSET(PLE!$G$14,$M43,CE$13))))</f>
        <v>1000000000000</v>
      </c>
      <c r="CF43" s="217">
        <f ca="1">IF($D43&lt;&gt;"Serviço",0,IF(OR(AND(AUTOEVENTO="Manual",$M43=1),$M43&gt;(ROW(PLE.lastrow)-ROW(PLE.firstrow))),0,IF(OFFSET(PLE!$G$14,$M43,CF$13)="",10^12,OFFSET(PLE!$G$14,$M43,CF$13))))</f>
        <v>1000000000000</v>
      </c>
      <c r="CG43" s="217">
        <f ca="1">IF($D43&lt;&gt;"Serviço",0,IF(OR(AND(AUTOEVENTO="Manual",$M43=1),$M43&gt;(ROW(PLE.lastrow)-ROW(PLE.firstrow))),0,IF(OFFSET(PLE!$G$14,$M43,CG$13)="",10^12,OFFSET(PLE!$G$14,$M43,CG$13))))</f>
        <v>1000000000000</v>
      </c>
      <c r="CH43" s="217">
        <f ca="1">IF($D43&lt;&gt;"Serviço",0,IF(OR(AND(AUTOEVENTO="Manual",$M43=1),$M43&gt;(ROW(PLE.lastrow)-ROW(PLE.firstrow))),0,IF(OFFSET(PLE!$G$14,$M43,CH$13)="",10^12,OFFSET(PLE!$G$14,$M43,CH$13))))</f>
        <v>1000000000000</v>
      </c>
      <c r="CI43" s="217">
        <f ca="1">IF($D43&lt;&gt;"Serviço",0,IF(OR(AND(AUTOEVENTO="Manual",$M43=1),$M43&gt;(ROW(PLE.lastrow)-ROW(PLE.firstrow))),0,IF(OFFSET(PLE!$G$14,$M43,CI$13)="",10^12,OFFSET(PLE!$G$14,$M43,CI$13))))</f>
        <v>1000000000000</v>
      </c>
      <c r="CJ43" s="217">
        <f ca="1">IF($D43&lt;&gt;"Serviço",0,IF(OR(AND(AUTOEVENTO="Manual",$M43=1),$M43&gt;(ROW(PLE.lastrow)-ROW(PLE.firstrow))),0,IF(OFFSET(PLE!$G$14,$M43,CJ$13)="",10^12,OFFSET(PLE!$G$14,$M43,CJ$13))))</f>
        <v>1000000000000</v>
      </c>
      <c r="CK43" s="217">
        <f ca="1">IF($D43&lt;&gt;"Serviço",0,IF(OR(AND(AUTOEVENTO="Manual",$M43=1),$M43&gt;(ROW(PLE.lastrow)-ROW(PLE.firstrow))),0,IF(OFFSET(PLE!$G$14,$M43,CK$13)="",10^12,OFFSET(PLE!$G$14,$M43,CK$13))))</f>
        <v>1000000000000</v>
      </c>
      <c r="CL43" s="217">
        <f ca="1">IF($D43&lt;&gt;"Serviço",0,IF(OR(AND(AUTOEVENTO="Manual",$M43=1),$M43&gt;(ROW(PLE.lastrow)-ROW(PLE.firstrow))),0,IF(OFFSET(PLE!$G$14,$M43,CL$13)="",10^12,OFFSET(PLE!$G$14,$M43,CL$13))))</f>
        <v>1000000000000</v>
      </c>
      <c r="CM43" s="217">
        <f ca="1">IF($D43&lt;&gt;"Serviço",0,IF(OR(AND(AUTOEVENTO="Manual",$M43=1),$M43&gt;(ROW(PLE.lastrow)-ROW(PLE.firstrow))),0,IF(OFFSET(PLE!$G$14,$M43,CM$13)="",10^12,OFFSET(PLE!$G$14,$M43,CM$13))))</f>
        <v>1000000000000</v>
      </c>
    </row>
    <row r="44" spans="1:91" ht="25.5" x14ac:dyDescent="0.2">
      <c r="A44" s="9" t="str">
        <f t="shared" ca="1" si="9"/>
        <v>27</v>
      </c>
      <c r="B44" s="9" t="str">
        <f ca="1">OFFSET(ORÇAMENTO!C$15,ROW(B44)-ROW(B$15),0)</f>
        <v>S</v>
      </c>
      <c r="C44" s="9" t="str">
        <f ca="1">OFFSET(ORÇAMENTO!L$15,ROW(C44)-ROW(C$15),0)</f>
        <v/>
      </c>
      <c r="D44" s="146" t="str">
        <f ca="1">OFFSET(ORÇAMENTO!N$15,ROW(D44)-ROW(D$15),0)</f>
        <v>Serviço</v>
      </c>
      <c r="E44" s="206" t="str">
        <f ca="1">OFFSET(ORÇAMENTO!O$15,ROW(E44)-ROW(E$15),0)</f>
        <v>-</v>
      </c>
      <c r="F44" s="207" t="str">
        <f ca="1">OFFSET(ORÇAMENTO!R$15,ROW(F44)-ROW(F$15),0)</f>
        <v>(abra o arquivo 'Referência 12-2023.xlsm)</v>
      </c>
      <c r="G44" s="208" t="str">
        <f ca="1">IF($D44&lt;&gt;"Serviço","",OFFSET(ORÇAMENTO!S$15,ROW(G44)-ROW(G$15),0))</f>
        <v>-</v>
      </c>
      <c r="H44" s="152">
        <f ca="1">IF($D44&lt;&gt;"Serviço",0,IF(ACOMPANHAMENTO="BM",ROUND(OFFSET(ORÇAMENTO!AJ$15,ROW(H44)-ROW(H$15),0),15-13*ORÇAMENTO!$AF$7),SUMPRODUCT(($Q$12:$AI$12&lt;&gt;"")*ROUND($Q44:$AI44,15-13*ORÇAMENTO!$AF$7))))</f>
        <v>609.62</v>
      </c>
      <c r="I44" s="649" t="s">
        <v>504</v>
      </c>
      <c r="K44" s="209"/>
      <c r="L44" s="210" t="s">
        <v>255</v>
      </c>
      <c r="M44" s="211">
        <f ca="1">IF($D44&lt;&gt;"Serviço","",IF(AUTOEVENTO="manual",$A44,IF(ISERROR(MATCH($A44,$A$15:OFFSET($A44,-1,0),0)),MAX($M$15:OFFSET(M44,-1,0))+1,INDEX($M$15:OFFSET(M44,-1,0),MATCH($A44,$A$15:OFFSET($A44,-1,0),0)))))</f>
        <v>8</v>
      </c>
      <c r="N44" s="212" t="str">
        <f ca="1">IF($D44&lt;&gt;"Serviço","",IF(AUTOEVENTO="Manual",IF($A44=0,"&lt;-- defina o número do agrupador",OFFSET(EVENTOS!$D$14,$A44,0)),OFFSET($F$15,$A44,0)))</f>
        <v>PASSEIO E SINALIZAÇÃO</v>
      </c>
      <c r="O44" s="213"/>
      <c r="Q44" s="213">
        <v>11.29</v>
      </c>
      <c r="R44" s="214">
        <v>54.97</v>
      </c>
      <c r="S44" s="214">
        <v>37.06</v>
      </c>
      <c r="T44" s="214">
        <v>80.97</v>
      </c>
      <c r="U44" s="214">
        <v>151.35</v>
      </c>
      <c r="V44" s="214">
        <v>9.4</v>
      </c>
      <c r="W44" s="214">
        <v>9.66</v>
      </c>
      <c r="X44" s="214">
        <v>80.22</v>
      </c>
      <c r="Y44" s="215">
        <v>31.33</v>
      </c>
      <c r="Z44" s="214">
        <v>82.67</v>
      </c>
      <c r="AA44" s="214">
        <v>55.22</v>
      </c>
      <c r="AB44" s="214">
        <v>5.48</v>
      </c>
      <c r="AC44" s="214"/>
      <c r="AD44" s="214"/>
      <c r="AE44" s="214"/>
      <c r="AF44" s="214"/>
      <c r="AG44" s="214"/>
      <c r="AH44" s="215"/>
      <c r="AJ44" s="630">
        <f ca="1">IF(AND($D44="Serviço",AJ$12&lt;&gt;0,$H44&gt;0,OR(AUTOEVENTO&lt;&gt;"manual",$M44&lt;&gt;1)),
IF(Import.TipoArredondamento&lt;&gt;"TransfereGOV",
ROUND(OFFSET($P44,0,AJ$13),15-13*ORÇAMENTO!$AF$7)/$H44*OFFSET(ORÇAMENTO!$X$15,ROW(AJ44)-ROW(AJ$15),0),
ROUND(ROUND(OFFSET($P44,0,AJ$13),15-13*ORÇAMENTO!$AF$7)*OFFSET(ORÇAMENTO!$W$15,ROW(AJ44)-ROW(AJ$15),0),15-13*ORÇAMENTO!$AF$11)),0)</f>
        <v>0</v>
      </c>
      <c r="AK44" s="631">
        <f ca="1">IF(AND($D44="Serviço",AK$12&lt;&gt;0,$H44&gt;0,OR(AUTOEVENTO&lt;&gt;"manual",$M44&lt;&gt;1)),
IF(Import.TipoArredondamento&lt;&gt;"TransfereGOV",
ROUND(OFFSET($P44,0,AK$13),15-13*ORÇAMENTO!$AF$7)/$H44*OFFSET(ORÇAMENTO!$X$15,ROW(AK44)-ROW(AK$15),0),
ROUND(ROUND(OFFSET($P44,0,AK$13),15-13*ORÇAMENTO!$AF$7)*OFFSET(ORÇAMENTO!$W$15,ROW(AK44)-ROW(AK$15),0),15-13*ORÇAMENTO!$AF$11)),0)</f>
        <v>0</v>
      </c>
      <c r="AL44" s="631">
        <f ca="1">IF(AND($D44="Serviço",AL$12&lt;&gt;0,$H44&gt;0,OR(AUTOEVENTO&lt;&gt;"manual",$M44&lt;&gt;1)),
IF(Import.TipoArredondamento&lt;&gt;"TransfereGOV",
ROUND(OFFSET($P44,0,AL$13),15-13*ORÇAMENTO!$AF$7)/$H44*OFFSET(ORÇAMENTO!$X$15,ROW(AL44)-ROW(AL$15),0),
ROUND(ROUND(OFFSET($P44,0,AL$13),15-13*ORÇAMENTO!$AF$7)*OFFSET(ORÇAMENTO!$W$15,ROW(AL44)-ROW(AL$15),0),15-13*ORÇAMENTO!$AF$11)),0)</f>
        <v>0</v>
      </c>
      <c r="AM44" s="631">
        <f ca="1">IF(AND($D44="Serviço",AM$12&lt;&gt;0,$H44&gt;0,OR(AUTOEVENTO&lt;&gt;"manual",$M44&lt;&gt;1)),
IF(Import.TipoArredondamento&lt;&gt;"TransfereGOV",
ROUND(OFFSET($P44,0,AM$13),15-13*ORÇAMENTO!$AF$7)/$H44*OFFSET(ORÇAMENTO!$X$15,ROW(AM44)-ROW(AM$15),0),
ROUND(ROUND(OFFSET($P44,0,AM$13),15-13*ORÇAMENTO!$AF$7)*OFFSET(ORÇAMENTO!$W$15,ROW(AM44)-ROW(AM$15),0),15-13*ORÇAMENTO!$AF$11)),0)</f>
        <v>0</v>
      </c>
      <c r="AN44" s="631">
        <f ca="1">IF(AND($D44="Serviço",AN$12&lt;&gt;0,$H44&gt;0,OR(AUTOEVENTO&lt;&gt;"manual",$M44&lt;&gt;1)),
IF(Import.TipoArredondamento&lt;&gt;"TransfereGOV",
ROUND(OFFSET($P44,0,AN$13),15-13*ORÇAMENTO!$AF$7)/$H44*OFFSET(ORÇAMENTO!$X$15,ROW(AN44)-ROW(AN$15),0),
ROUND(ROUND(OFFSET($P44,0,AN$13),15-13*ORÇAMENTO!$AF$7)*OFFSET(ORÇAMENTO!$W$15,ROW(AN44)-ROW(AN$15),0),15-13*ORÇAMENTO!$AF$11)),0)</f>
        <v>0</v>
      </c>
      <c r="AO44" s="631">
        <f ca="1">IF(AND($D44="Serviço",AO$12&lt;&gt;0,$H44&gt;0,OR(AUTOEVENTO&lt;&gt;"manual",$M44&lt;&gt;1)),
IF(Import.TipoArredondamento&lt;&gt;"TransfereGOV",
ROUND(OFFSET($P44,0,AO$13),15-13*ORÇAMENTO!$AF$7)/$H44*OFFSET(ORÇAMENTO!$X$15,ROW(AO44)-ROW(AO$15),0),
ROUND(ROUND(OFFSET($P44,0,AO$13),15-13*ORÇAMENTO!$AF$7)*OFFSET(ORÇAMENTO!$W$15,ROW(AO44)-ROW(AO$15),0),15-13*ORÇAMENTO!$AF$11)),0)</f>
        <v>0</v>
      </c>
      <c r="AP44" s="631">
        <f ca="1">IF(AND($D44="Serviço",AP$12&lt;&gt;0,$H44&gt;0,OR(AUTOEVENTO&lt;&gt;"manual",$M44&lt;&gt;1)),
IF(Import.TipoArredondamento&lt;&gt;"TransfereGOV",
ROUND(OFFSET($P44,0,AP$13),15-13*ORÇAMENTO!$AF$7)/$H44*OFFSET(ORÇAMENTO!$X$15,ROW(AP44)-ROW(AP$15),0),
ROUND(ROUND(OFFSET($P44,0,AP$13),15-13*ORÇAMENTO!$AF$7)*OFFSET(ORÇAMENTO!$W$15,ROW(AP44)-ROW(AP$15),0),15-13*ORÇAMENTO!$AF$11)),0)</f>
        <v>0</v>
      </c>
      <c r="AQ44" s="631">
        <f ca="1">IF(AND($D44="Serviço",AQ$12&lt;&gt;0,$H44&gt;0,OR(AUTOEVENTO&lt;&gt;"manual",$M44&lt;&gt;1)),
IF(Import.TipoArredondamento&lt;&gt;"TransfereGOV",
ROUND(OFFSET($P44,0,AQ$13),15-13*ORÇAMENTO!$AF$7)/$H44*OFFSET(ORÇAMENTO!$X$15,ROW(AQ44)-ROW(AQ$15),0),
ROUND(ROUND(OFFSET($P44,0,AQ$13),15-13*ORÇAMENTO!$AF$7)*OFFSET(ORÇAMENTO!$W$15,ROW(AQ44)-ROW(AQ$15),0),15-13*ORÇAMENTO!$AF$11)),0)</f>
        <v>0</v>
      </c>
      <c r="AR44" s="631">
        <f ca="1">IF(AND($D44="Serviço",AR$12&lt;&gt;0,$H44&gt;0,OR(AUTOEVENTO&lt;&gt;"manual",$M44&lt;&gt;1)),
IF(Import.TipoArredondamento&lt;&gt;"TransfereGOV",
ROUND(OFFSET($P44,0,AR$13),15-13*ORÇAMENTO!$AF$7)/$H44*OFFSET(ORÇAMENTO!$X$15,ROW(AR44)-ROW(AR$15),0),
ROUND(ROUND(OFFSET($P44,0,AR$13),15-13*ORÇAMENTO!$AF$7)*OFFSET(ORÇAMENTO!$W$15,ROW(AR44)-ROW(AR$15),0),15-13*ORÇAMENTO!$AF$11)),0)</f>
        <v>0</v>
      </c>
      <c r="AS44" s="632">
        <f ca="1">IF(AND($D44="Serviço",AS$12&lt;&gt;0,$H44&gt;0,OR(AUTOEVENTO&lt;&gt;"manual",$M44&lt;&gt;1)),
IF(Import.TipoArredondamento&lt;&gt;"TransfereGOV",
ROUND(OFFSET($P44,0,AS$13),15-13*ORÇAMENTO!$AF$7)/$H44*OFFSET(ORÇAMENTO!$X$15,ROW(AS44)-ROW(AS$15),0),
ROUND(ROUND(OFFSET($P44,0,AS$13),15-13*ORÇAMENTO!$AF$7)*OFFSET(ORÇAMENTO!$W$15,ROW(AS44)-ROW(AS$15),0),15-13*ORÇAMENTO!$AF$11)),0)</f>
        <v>0</v>
      </c>
      <c r="AT44" s="631">
        <f ca="1">IF(AND($D44="Serviço",AT$12&lt;&gt;0,$H44&gt;0,OR(AUTOEVENTO&lt;&gt;"manual",$M44&lt;&gt;1)),
IF(Import.TipoArredondamento&lt;&gt;"TransfereGOV",
ROUND(OFFSET($P44,0,AT$13),15-13*ORÇAMENTO!$AF$7)/$H44*OFFSET(ORÇAMENTO!$X$15,ROW(AT44)-ROW(AT$15),0),
ROUND(ROUND(OFFSET($P44,0,AT$13),15-13*ORÇAMENTO!$AF$7)*OFFSET(ORÇAMENTO!$W$15,ROW(AT44)-ROW(AT$15),0),15-13*ORÇAMENTO!$AF$11)),0)</f>
        <v>0</v>
      </c>
      <c r="AU44" s="631">
        <f ca="1">IF(AND($D44="Serviço",AU$12&lt;&gt;0,$H44&gt;0,OR(AUTOEVENTO&lt;&gt;"manual",$M44&lt;&gt;1)),
IF(Import.TipoArredondamento&lt;&gt;"TransfereGOV",
ROUND(OFFSET($P44,0,AU$13),15-13*ORÇAMENTO!$AF$7)/$H44*OFFSET(ORÇAMENTO!$X$15,ROW(AU44)-ROW(AU$15),0),
ROUND(ROUND(OFFSET($P44,0,AU$13),15-13*ORÇAMENTO!$AF$7)*OFFSET(ORÇAMENTO!$W$15,ROW(AU44)-ROW(AU$15),0),15-13*ORÇAMENTO!$AF$11)),0)</f>
        <v>0</v>
      </c>
      <c r="AV44" s="631">
        <f ca="1">IF(AND($D44="Serviço",AV$12&lt;&gt;0,$H44&gt;0,OR(AUTOEVENTO&lt;&gt;"manual",$M44&lt;&gt;1)),
IF(Import.TipoArredondamento&lt;&gt;"TransfereGOV",
ROUND(OFFSET($P44,0,AV$13),15-13*ORÇAMENTO!$AF$7)/$H44*OFFSET(ORÇAMENTO!$X$15,ROW(AV44)-ROW(AV$15),0),
ROUND(ROUND(OFFSET($P44,0,AV$13),15-13*ORÇAMENTO!$AF$7)*OFFSET(ORÇAMENTO!$W$15,ROW(AV44)-ROW(AV$15),0),15-13*ORÇAMENTO!$AF$11)),0)</f>
        <v>0</v>
      </c>
      <c r="AW44" s="631">
        <f ca="1">IF(AND($D44="Serviço",AW$12&lt;&gt;0,$H44&gt;0,OR(AUTOEVENTO&lt;&gt;"manual",$M44&lt;&gt;1)),
IF(Import.TipoArredondamento&lt;&gt;"TransfereGOV",
ROUND(OFFSET($P44,0,AW$13),15-13*ORÇAMENTO!$AF$7)/$H44*OFFSET(ORÇAMENTO!$X$15,ROW(AW44)-ROW(AW$15),0),
ROUND(ROUND(OFFSET($P44,0,AW$13),15-13*ORÇAMENTO!$AF$7)*OFFSET(ORÇAMENTO!$W$15,ROW(AW44)-ROW(AW$15),0),15-13*ORÇAMENTO!$AF$11)),0)</f>
        <v>0</v>
      </c>
      <c r="AX44" s="631">
        <f ca="1">IF(AND($D44="Serviço",AX$12&lt;&gt;0,$H44&gt;0,OR(AUTOEVENTO&lt;&gt;"manual",$M44&lt;&gt;1)),
IF(Import.TipoArredondamento&lt;&gt;"TransfereGOV",
ROUND(OFFSET($P44,0,AX$13),15-13*ORÇAMENTO!$AF$7)/$H44*OFFSET(ORÇAMENTO!$X$15,ROW(AX44)-ROW(AX$15),0),
ROUND(ROUND(OFFSET($P44,0,AX$13),15-13*ORÇAMENTO!$AF$7)*OFFSET(ORÇAMENTO!$W$15,ROW(AX44)-ROW(AX$15),0),15-13*ORÇAMENTO!$AF$11)),0)</f>
        <v>0</v>
      </c>
      <c r="AY44" s="631">
        <f ca="1">IF(AND($D44="Serviço",AY$12&lt;&gt;0,$H44&gt;0,OR(AUTOEVENTO&lt;&gt;"manual",$M44&lt;&gt;1)),
IF(Import.TipoArredondamento&lt;&gt;"TransfereGOV",
ROUND(OFFSET($P44,0,AY$13),15-13*ORÇAMENTO!$AF$7)/$H44*OFFSET(ORÇAMENTO!$X$15,ROW(AY44)-ROW(AY$15),0),
ROUND(ROUND(OFFSET($P44,0,AY$13),15-13*ORÇAMENTO!$AF$7)*OFFSET(ORÇAMENTO!$W$15,ROW(AY44)-ROW(AY$15),0),15-13*ORÇAMENTO!$AF$11)),0)</f>
        <v>0</v>
      </c>
      <c r="AZ44" s="631">
        <f ca="1">IF(AND($D44="Serviço",AZ$12&lt;&gt;0,$H44&gt;0,OR(AUTOEVENTO&lt;&gt;"manual",$M44&lt;&gt;1)),
IF(Import.TipoArredondamento&lt;&gt;"TransfereGOV",
ROUND(OFFSET($P44,0,AZ$13),15-13*ORÇAMENTO!$AF$7)/$H44*OFFSET(ORÇAMENTO!$X$15,ROW(AZ44)-ROW(AZ$15),0),
ROUND(ROUND(OFFSET($P44,0,AZ$13),15-13*ORÇAMENTO!$AF$7)*OFFSET(ORÇAMENTO!$W$15,ROW(AZ44)-ROW(AZ$15),0),15-13*ORÇAMENTO!$AF$11)),0)</f>
        <v>0</v>
      </c>
      <c r="BA44" s="632">
        <f ca="1">IF(AND($D44="Serviço",BA$12&lt;&gt;0,$H44&gt;0,OR(AUTOEVENTO&lt;&gt;"manual",$M44&lt;&gt;1)),
IF(Import.TipoArredondamento&lt;&gt;"TransfereGOV",
ROUND(OFFSET($P44,0,BA$13),15-13*ORÇAMENTO!$AF$7)/$H44*OFFSET(ORÇAMENTO!$X$15,ROW(BA44)-ROW(BA$15),0),
ROUND(ROUND(OFFSET($P44,0,BA$13),15-13*ORÇAMENTO!$AF$7)*OFFSET(ORÇAMENTO!$W$15,ROW(BA44)-ROW(BA$15),0),15-13*ORÇAMENTO!$AF$11)),0)</f>
        <v>0</v>
      </c>
      <c r="BC44" s="216">
        <f ca="1">IF($D44&lt;&gt;"Serviço",0,IF(AND(AUTOEVENTO="Manual",$M44=1),0,IF(OFFSET(CRONOPLE!$F$14,$M44,BC$13)="",10^12,OFFSET(CRONOPLE!$F$14,$M44,BC$13))))</f>
        <v>7</v>
      </c>
      <c r="BD44" s="216">
        <f ca="1">IF($D44&lt;&gt;"Serviço",0,IF(AND(AUTOEVENTO="Manual",$M44=1),0,IF(OFFSET(CRONOPLE!$F$14,$M44,BD$13)="",10^12,OFFSET(CRONOPLE!$F$14,$M44,BD$13))))</f>
        <v>7</v>
      </c>
      <c r="BE44" s="216">
        <f ca="1">IF($D44&lt;&gt;"Serviço",0,IF(AND(AUTOEVENTO="Manual",$M44=1),0,IF(OFFSET(CRONOPLE!$F$14,$M44,BE$13)="",10^12,OFFSET(CRONOPLE!$F$14,$M44,BE$13))))</f>
        <v>7</v>
      </c>
      <c r="BF44" s="216">
        <f ca="1">IF($D44&lt;&gt;"Serviço",0,IF(AND(AUTOEVENTO="Manual",$M44=1),0,IF(OFFSET(CRONOPLE!$F$14,$M44,BF$13)="",10^12,OFFSET(CRONOPLE!$F$14,$M44,BF$13))))</f>
        <v>7</v>
      </c>
      <c r="BG44" s="216">
        <f ca="1">IF($D44&lt;&gt;"Serviço",0,IF(AND(AUTOEVENTO="Manual",$M44=1),0,IF(OFFSET(CRONOPLE!$F$14,$M44,BG$13)="",10^12,OFFSET(CRONOPLE!$F$14,$M44,BG$13))))</f>
        <v>7</v>
      </c>
      <c r="BH44" s="216">
        <f ca="1">IF($D44&lt;&gt;"Serviço",0,IF(AND(AUTOEVENTO="Manual",$M44=1),0,IF(OFFSET(CRONOPLE!$F$14,$M44,BH$13)="",10^12,OFFSET(CRONOPLE!$F$14,$M44,BH$13))))</f>
        <v>7</v>
      </c>
      <c r="BI44" s="216">
        <f ca="1">IF($D44&lt;&gt;"Serviço",0,IF(AND(AUTOEVENTO="Manual",$M44=1),0,IF(OFFSET(CRONOPLE!$F$14,$M44,BI$13)="",10^12,OFFSET(CRONOPLE!$F$14,$M44,BI$13))))</f>
        <v>7</v>
      </c>
      <c r="BJ44" s="216">
        <f ca="1">IF($D44&lt;&gt;"Serviço",0,IF(AND(AUTOEVENTO="Manual",$M44=1),0,IF(OFFSET(CRONOPLE!$F$14,$M44,BJ$13)="",10^12,OFFSET(CRONOPLE!$F$14,$M44,BJ$13))))</f>
        <v>7</v>
      </c>
      <c r="BK44" s="216">
        <f ca="1">IF($D44&lt;&gt;"Serviço",0,IF(AND(AUTOEVENTO="Manual",$M44=1),0,IF(OFFSET(CRONOPLE!$F$14,$M44,BK$13)="",10^12,OFFSET(CRONOPLE!$F$14,$M44,BK$13))))</f>
        <v>7</v>
      </c>
      <c r="BL44" s="216">
        <f ca="1">IF($D44&lt;&gt;"Serviço",0,IF(AND(AUTOEVENTO="Manual",$M44=1),0,IF(OFFSET(CRONOPLE!$F$14,$M44,BL$13)="",10^12,OFFSET(CRONOPLE!$F$14,$M44,BL$13))))</f>
        <v>7</v>
      </c>
      <c r="BM44" s="216">
        <f ca="1">IF($D44&lt;&gt;"Serviço",0,IF(AND(AUTOEVENTO="Manual",$M44=1),0,IF(OFFSET(CRONOPLE!$F$14,$M44,BM$13)="",10^12,OFFSET(CRONOPLE!$F$14,$M44,BM$13))))</f>
        <v>7</v>
      </c>
      <c r="BN44" s="216">
        <f ca="1">IF($D44&lt;&gt;"Serviço",0,IF(AND(AUTOEVENTO="Manual",$M44=1),0,IF(OFFSET(CRONOPLE!$F$14,$M44,BN$13)="",10^12,OFFSET(CRONOPLE!$F$14,$M44,BN$13))))</f>
        <v>7</v>
      </c>
      <c r="BO44" s="216">
        <f ca="1">IF($D44&lt;&gt;"Serviço",0,IF(AND(AUTOEVENTO="Manual",$M44=1),0,IF(OFFSET(CRONOPLE!$F$14,$M44,BO$13)="",10^12,OFFSET(CRONOPLE!$F$14,$M44,BO$13))))</f>
        <v>7</v>
      </c>
      <c r="BP44" s="216">
        <f ca="1">IF($D44&lt;&gt;"Serviço",0,IF(AND(AUTOEVENTO="Manual",$M44=1),0,IF(OFFSET(CRONOPLE!$F$14,$M44,BP$13)="",10^12,OFFSET(CRONOPLE!$F$14,$M44,BP$13))))</f>
        <v>1000000000000</v>
      </c>
      <c r="BQ44" s="216">
        <f ca="1">IF($D44&lt;&gt;"Serviço",0,IF(AND(AUTOEVENTO="Manual",$M44=1),0,IF(OFFSET(CRONOPLE!$F$14,$M44,BQ$13)="",10^12,OFFSET(CRONOPLE!$F$14,$M44,BQ$13))))</f>
        <v>1000000000000</v>
      </c>
      <c r="BR44" s="216">
        <f ca="1">IF($D44&lt;&gt;"Serviço",0,IF(AND(AUTOEVENTO="Manual",$M44=1),0,IF(OFFSET(CRONOPLE!$F$14,$M44,BR$13)="",10^12,OFFSET(CRONOPLE!$F$14,$M44,BR$13))))</f>
        <v>1000000000000</v>
      </c>
      <c r="BS44" s="216">
        <f ca="1">IF($D44&lt;&gt;"Serviço",0,IF(AND(AUTOEVENTO="Manual",$M44=1),0,IF(OFFSET(CRONOPLE!$F$14,$M44,BS$13)="",10^12,OFFSET(CRONOPLE!$F$14,$M44,BS$13))))</f>
        <v>1000000000000</v>
      </c>
      <c r="BT44" s="216">
        <f ca="1">IF($D44&lt;&gt;"Serviço",0,IF(AND(AUTOEVENTO="Manual",$M44=1),0,IF(OFFSET(CRONOPLE!$F$14,$M44,BT$13)="",10^12,OFFSET(CRONOPLE!$F$14,$M44,BT$13))))</f>
        <v>1000000000000</v>
      </c>
      <c r="BV44" s="217">
        <f ca="1">IF($D44&lt;&gt;"Serviço",0,IF(OR(AND(AUTOEVENTO="Manual",$M44=1),$M44&gt;(ROW(PLE.lastrow)-ROW(PLE.firstrow))),0,IF(OFFSET(PLE!$G$14,$M44,BV$13)="",10^12,OFFSET(PLE!$G$14,$M44,BV$13))))</f>
        <v>1000000000000</v>
      </c>
      <c r="BW44" s="217">
        <f ca="1">IF($D44&lt;&gt;"Serviço",0,IF(OR(AND(AUTOEVENTO="Manual",$M44=1),$M44&gt;(ROW(PLE.lastrow)-ROW(PLE.firstrow))),0,IF(OFFSET(PLE!$G$14,$M44,BW$13)="",10^12,OFFSET(PLE!$G$14,$M44,BW$13))))</f>
        <v>1000000000000</v>
      </c>
      <c r="BX44" s="217">
        <f ca="1">IF($D44&lt;&gt;"Serviço",0,IF(OR(AND(AUTOEVENTO="Manual",$M44=1),$M44&gt;(ROW(PLE.lastrow)-ROW(PLE.firstrow))),0,IF(OFFSET(PLE!$G$14,$M44,BX$13)="",10^12,OFFSET(PLE!$G$14,$M44,BX$13))))</f>
        <v>1000000000000</v>
      </c>
      <c r="BY44" s="217">
        <f ca="1">IF($D44&lt;&gt;"Serviço",0,IF(OR(AND(AUTOEVENTO="Manual",$M44=1),$M44&gt;(ROW(PLE.lastrow)-ROW(PLE.firstrow))),0,IF(OFFSET(PLE!$G$14,$M44,BY$13)="",10^12,OFFSET(PLE!$G$14,$M44,BY$13))))</f>
        <v>1000000000000</v>
      </c>
      <c r="BZ44" s="217">
        <f ca="1">IF($D44&lt;&gt;"Serviço",0,IF(OR(AND(AUTOEVENTO="Manual",$M44=1),$M44&gt;(ROW(PLE.lastrow)-ROW(PLE.firstrow))),0,IF(OFFSET(PLE!$G$14,$M44,BZ$13)="",10^12,OFFSET(PLE!$G$14,$M44,BZ$13))))</f>
        <v>1000000000000</v>
      </c>
      <c r="CA44" s="217">
        <f ca="1">IF($D44&lt;&gt;"Serviço",0,IF(OR(AND(AUTOEVENTO="Manual",$M44=1),$M44&gt;(ROW(PLE.lastrow)-ROW(PLE.firstrow))),0,IF(OFFSET(PLE!$G$14,$M44,CA$13)="",10^12,OFFSET(PLE!$G$14,$M44,CA$13))))</f>
        <v>1000000000000</v>
      </c>
      <c r="CB44" s="217">
        <f ca="1">IF($D44&lt;&gt;"Serviço",0,IF(OR(AND(AUTOEVENTO="Manual",$M44=1),$M44&gt;(ROW(PLE.lastrow)-ROW(PLE.firstrow))),0,IF(OFFSET(PLE!$G$14,$M44,CB$13)="",10^12,OFFSET(PLE!$G$14,$M44,CB$13))))</f>
        <v>1000000000000</v>
      </c>
      <c r="CC44" s="217">
        <f ca="1">IF($D44&lt;&gt;"Serviço",0,IF(OR(AND(AUTOEVENTO="Manual",$M44=1),$M44&gt;(ROW(PLE.lastrow)-ROW(PLE.firstrow))),0,IF(OFFSET(PLE!$G$14,$M44,CC$13)="",10^12,OFFSET(PLE!$G$14,$M44,CC$13))))</f>
        <v>1000000000000</v>
      </c>
      <c r="CD44" s="217">
        <f ca="1">IF($D44&lt;&gt;"Serviço",0,IF(OR(AND(AUTOEVENTO="Manual",$M44=1),$M44&gt;(ROW(PLE.lastrow)-ROW(PLE.firstrow))),0,IF(OFFSET(PLE!$G$14,$M44,CD$13)="",10^12,OFFSET(PLE!$G$14,$M44,CD$13))))</f>
        <v>1000000000000</v>
      </c>
      <c r="CE44" s="217">
        <f ca="1">IF($D44&lt;&gt;"Serviço",0,IF(OR(AND(AUTOEVENTO="Manual",$M44=1),$M44&gt;(ROW(PLE.lastrow)-ROW(PLE.firstrow))),0,IF(OFFSET(PLE!$G$14,$M44,CE$13)="",10^12,OFFSET(PLE!$G$14,$M44,CE$13))))</f>
        <v>1000000000000</v>
      </c>
      <c r="CF44" s="217">
        <f ca="1">IF($D44&lt;&gt;"Serviço",0,IF(OR(AND(AUTOEVENTO="Manual",$M44=1),$M44&gt;(ROW(PLE.lastrow)-ROW(PLE.firstrow))),0,IF(OFFSET(PLE!$G$14,$M44,CF$13)="",10^12,OFFSET(PLE!$G$14,$M44,CF$13))))</f>
        <v>1000000000000</v>
      </c>
      <c r="CG44" s="217">
        <f ca="1">IF($D44&lt;&gt;"Serviço",0,IF(OR(AND(AUTOEVENTO="Manual",$M44=1),$M44&gt;(ROW(PLE.lastrow)-ROW(PLE.firstrow))),0,IF(OFFSET(PLE!$G$14,$M44,CG$13)="",10^12,OFFSET(PLE!$G$14,$M44,CG$13))))</f>
        <v>1000000000000</v>
      </c>
      <c r="CH44" s="217">
        <f ca="1">IF($D44&lt;&gt;"Serviço",0,IF(OR(AND(AUTOEVENTO="Manual",$M44=1),$M44&gt;(ROW(PLE.lastrow)-ROW(PLE.firstrow))),0,IF(OFFSET(PLE!$G$14,$M44,CH$13)="",10^12,OFFSET(PLE!$G$14,$M44,CH$13))))</f>
        <v>1000000000000</v>
      </c>
      <c r="CI44" s="217">
        <f ca="1">IF($D44&lt;&gt;"Serviço",0,IF(OR(AND(AUTOEVENTO="Manual",$M44=1),$M44&gt;(ROW(PLE.lastrow)-ROW(PLE.firstrow))),0,IF(OFFSET(PLE!$G$14,$M44,CI$13)="",10^12,OFFSET(PLE!$G$14,$M44,CI$13))))</f>
        <v>1000000000000</v>
      </c>
      <c r="CJ44" s="217">
        <f ca="1">IF($D44&lt;&gt;"Serviço",0,IF(OR(AND(AUTOEVENTO="Manual",$M44=1),$M44&gt;(ROW(PLE.lastrow)-ROW(PLE.firstrow))),0,IF(OFFSET(PLE!$G$14,$M44,CJ$13)="",10^12,OFFSET(PLE!$G$14,$M44,CJ$13))))</f>
        <v>1000000000000</v>
      </c>
      <c r="CK44" s="217">
        <f ca="1">IF($D44&lt;&gt;"Serviço",0,IF(OR(AND(AUTOEVENTO="Manual",$M44=1),$M44&gt;(ROW(PLE.lastrow)-ROW(PLE.firstrow))),0,IF(OFFSET(PLE!$G$14,$M44,CK$13)="",10^12,OFFSET(PLE!$G$14,$M44,CK$13))))</f>
        <v>1000000000000</v>
      </c>
      <c r="CL44" s="217">
        <f ca="1">IF($D44&lt;&gt;"Serviço",0,IF(OR(AND(AUTOEVENTO="Manual",$M44=1),$M44&gt;(ROW(PLE.lastrow)-ROW(PLE.firstrow))),0,IF(OFFSET(PLE!$G$14,$M44,CL$13)="",10^12,OFFSET(PLE!$G$14,$M44,CL$13))))</f>
        <v>1000000000000</v>
      </c>
      <c r="CM44" s="217">
        <f ca="1">IF($D44&lt;&gt;"Serviço",0,IF(OR(AND(AUTOEVENTO="Manual",$M44=1),$M44&gt;(ROW(PLE.lastrow)-ROW(PLE.firstrow))),0,IF(OFFSET(PLE!$G$14,$M44,CM$13)="",10^12,OFFSET(PLE!$G$14,$M44,CM$13))))</f>
        <v>1000000000000</v>
      </c>
    </row>
    <row r="45" spans="1:91" ht="25.5" x14ac:dyDescent="0.2">
      <c r="A45" s="9" t="str">
        <f t="shared" ca="1" si="9"/>
        <v>27</v>
      </c>
      <c r="B45" s="9" t="str">
        <f ca="1">OFFSET(ORÇAMENTO!C$15,ROW(B45)-ROW(B$15),0)</f>
        <v>S</v>
      </c>
      <c r="C45" s="9" t="str">
        <f ca="1">OFFSET(ORÇAMENTO!L$15,ROW(C45)-ROW(C$15),0)</f>
        <v/>
      </c>
      <c r="D45" s="146" t="str">
        <f ca="1">OFFSET(ORÇAMENTO!N$15,ROW(D45)-ROW(D$15),0)</f>
        <v>Serviço</v>
      </c>
      <c r="E45" s="206" t="str">
        <f ca="1">OFFSET(ORÇAMENTO!O$15,ROW(E45)-ROW(E$15),0)</f>
        <v>-</v>
      </c>
      <c r="F45" s="207" t="str">
        <f ca="1">OFFSET(ORÇAMENTO!R$15,ROW(F45)-ROW(F$15),0)</f>
        <v>(abra o arquivo 'Referência 12-2023.xlsm)</v>
      </c>
      <c r="G45" s="208" t="str">
        <f ca="1">IF($D45&lt;&gt;"Serviço","",OFFSET(ORÇAMENTO!S$15,ROW(G45)-ROW(G$15),0))</f>
        <v>-</v>
      </c>
      <c r="H45" s="152">
        <f ca="1">IF($D45&lt;&gt;"Serviço",0,IF(ACOMPANHAMENTO="BM",ROUND(OFFSET(ORÇAMENTO!AJ$15,ROW(H45)-ROW(H$15),0),15-13*ORÇAMENTO!$AF$7),SUMPRODUCT(($Q$12:$AI$12&lt;&gt;"")*ROUND($Q45:$AI45,15-13*ORÇAMENTO!$AF$7))))</f>
        <v>1693.43</v>
      </c>
      <c r="I45" s="649" t="s">
        <v>504</v>
      </c>
      <c r="K45" s="209"/>
      <c r="L45" s="210" t="s">
        <v>255</v>
      </c>
      <c r="M45" s="211">
        <f ca="1">IF($D45&lt;&gt;"Serviço","",IF(AUTOEVENTO="manual",$A45,IF(ISERROR(MATCH($A45,$A$15:OFFSET($A45,-1,0),0)),MAX($M$15:OFFSET(M45,-1,0))+1,INDEX($M$15:OFFSET(M45,-1,0),MATCH($A45,$A$15:OFFSET($A45,-1,0),0)))))</f>
        <v>8</v>
      </c>
      <c r="N45" s="212" t="str">
        <f ca="1">IF($D45&lt;&gt;"Serviço","",IF(AUTOEVENTO="Manual",IF($A45=0,"&lt;-- defina o número do agrupador",OFFSET(EVENTOS!$D$14,$A45,0)),OFFSET($F$15,$A45,0)))</f>
        <v>PASSEIO E SINALIZAÇÃO</v>
      </c>
      <c r="O45" s="213"/>
      <c r="Q45" s="213">
        <v>31.36</v>
      </c>
      <c r="R45" s="214">
        <v>152.68</v>
      </c>
      <c r="S45" s="214">
        <v>102.95</v>
      </c>
      <c r="T45" s="214">
        <v>224.93</v>
      </c>
      <c r="U45" s="214">
        <v>420.41</v>
      </c>
      <c r="V45" s="214">
        <v>26.12</v>
      </c>
      <c r="W45" s="214">
        <v>26.83</v>
      </c>
      <c r="X45" s="214">
        <v>222.83</v>
      </c>
      <c r="Y45" s="215">
        <v>87.04</v>
      </c>
      <c r="Z45" s="214">
        <v>229.65</v>
      </c>
      <c r="AA45" s="214">
        <v>153.38999999999999</v>
      </c>
      <c r="AB45" s="214">
        <v>15.24</v>
      </c>
      <c r="AC45" s="214"/>
      <c r="AD45" s="214"/>
      <c r="AE45" s="214"/>
      <c r="AF45" s="214"/>
      <c r="AG45" s="214"/>
      <c r="AH45" s="215"/>
      <c r="AJ45" s="630">
        <f ca="1">IF(AND($D45="Serviço",AJ$12&lt;&gt;0,$H45&gt;0,OR(AUTOEVENTO&lt;&gt;"manual",$M45&lt;&gt;1)),
IF(Import.TipoArredondamento&lt;&gt;"TransfereGOV",
ROUND(OFFSET($P45,0,AJ$13),15-13*ORÇAMENTO!$AF$7)/$H45*OFFSET(ORÇAMENTO!$X$15,ROW(AJ45)-ROW(AJ$15),0),
ROUND(ROUND(OFFSET($P45,0,AJ$13),15-13*ORÇAMENTO!$AF$7)*OFFSET(ORÇAMENTO!$W$15,ROW(AJ45)-ROW(AJ$15),0),15-13*ORÇAMENTO!$AF$11)),0)</f>
        <v>0</v>
      </c>
      <c r="AK45" s="631">
        <f ca="1">IF(AND($D45="Serviço",AK$12&lt;&gt;0,$H45&gt;0,OR(AUTOEVENTO&lt;&gt;"manual",$M45&lt;&gt;1)),
IF(Import.TipoArredondamento&lt;&gt;"TransfereGOV",
ROUND(OFFSET($P45,0,AK$13),15-13*ORÇAMENTO!$AF$7)/$H45*OFFSET(ORÇAMENTO!$X$15,ROW(AK45)-ROW(AK$15),0),
ROUND(ROUND(OFFSET($P45,0,AK$13),15-13*ORÇAMENTO!$AF$7)*OFFSET(ORÇAMENTO!$W$15,ROW(AK45)-ROW(AK$15),0),15-13*ORÇAMENTO!$AF$11)),0)</f>
        <v>0</v>
      </c>
      <c r="AL45" s="631">
        <f ca="1">IF(AND($D45="Serviço",AL$12&lt;&gt;0,$H45&gt;0,OR(AUTOEVENTO&lt;&gt;"manual",$M45&lt;&gt;1)),
IF(Import.TipoArredondamento&lt;&gt;"TransfereGOV",
ROUND(OFFSET($P45,0,AL$13),15-13*ORÇAMENTO!$AF$7)/$H45*OFFSET(ORÇAMENTO!$X$15,ROW(AL45)-ROW(AL$15),0),
ROUND(ROUND(OFFSET($P45,0,AL$13),15-13*ORÇAMENTO!$AF$7)*OFFSET(ORÇAMENTO!$W$15,ROW(AL45)-ROW(AL$15),0),15-13*ORÇAMENTO!$AF$11)),0)</f>
        <v>0</v>
      </c>
      <c r="AM45" s="631">
        <f ca="1">IF(AND($D45="Serviço",AM$12&lt;&gt;0,$H45&gt;0,OR(AUTOEVENTO&lt;&gt;"manual",$M45&lt;&gt;1)),
IF(Import.TipoArredondamento&lt;&gt;"TransfereGOV",
ROUND(OFFSET($P45,0,AM$13),15-13*ORÇAMENTO!$AF$7)/$H45*OFFSET(ORÇAMENTO!$X$15,ROW(AM45)-ROW(AM$15),0),
ROUND(ROUND(OFFSET($P45,0,AM$13),15-13*ORÇAMENTO!$AF$7)*OFFSET(ORÇAMENTO!$W$15,ROW(AM45)-ROW(AM$15),0),15-13*ORÇAMENTO!$AF$11)),0)</f>
        <v>0</v>
      </c>
      <c r="AN45" s="631">
        <f ca="1">IF(AND($D45="Serviço",AN$12&lt;&gt;0,$H45&gt;0,OR(AUTOEVENTO&lt;&gt;"manual",$M45&lt;&gt;1)),
IF(Import.TipoArredondamento&lt;&gt;"TransfereGOV",
ROUND(OFFSET($P45,0,AN$13),15-13*ORÇAMENTO!$AF$7)/$H45*OFFSET(ORÇAMENTO!$X$15,ROW(AN45)-ROW(AN$15),0),
ROUND(ROUND(OFFSET($P45,0,AN$13),15-13*ORÇAMENTO!$AF$7)*OFFSET(ORÇAMENTO!$W$15,ROW(AN45)-ROW(AN$15),0),15-13*ORÇAMENTO!$AF$11)),0)</f>
        <v>0</v>
      </c>
      <c r="AO45" s="631">
        <f ca="1">IF(AND($D45="Serviço",AO$12&lt;&gt;0,$H45&gt;0,OR(AUTOEVENTO&lt;&gt;"manual",$M45&lt;&gt;1)),
IF(Import.TipoArredondamento&lt;&gt;"TransfereGOV",
ROUND(OFFSET($P45,0,AO$13),15-13*ORÇAMENTO!$AF$7)/$H45*OFFSET(ORÇAMENTO!$X$15,ROW(AO45)-ROW(AO$15),0),
ROUND(ROUND(OFFSET($P45,0,AO$13),15-13*ORÇAMENTO!$AF$7)*OFFSET(ORÇAMENTO!$W$15,ROW(AO45)-ROW(AO$15),0),15-13*ORÇAMENTO!$AF$11)),0)</f>
        <v>0</v>
      </c>
      <c r="AP45" s="631">
        <f ca="1">IF(AND($D45="Serviço",AP$12&lt;&gt;0,$H45&gt;0,OR(AUTOEVENTO&lt;&gt;"manual",$M45&lt;&gt;1)),
IF(Import.TipoArredondamento&lt;&gt;"TransfereGOV",
ROUND(OFFSET($P45,0,AP$13),15-13*ORÇAMENTO!$AF$7)/$H45*OFFSET(ORÇAMENTO!$X$15,ROW(AP45)-ROW(AP$15),0),
ROUND(ROUND(OFFSET($P45,0,AP$13),15-13*ORÇAMENTO!$AF$7)*OFFSET(ORÇAMENTO!$W$15,ROW(AP45)-ROW(AP$15),0),15-13*ORÇAMENTO!$AF$11)),0)</f>
        <v>0</v>
      </c>
      <c r="AQ45" s="631">
        <f ca="1">IF(AND($D45="Serviço",AQ$12&lt;&gt;0,$H45&gt;0,OR(AUTOEVENTO&lt;&gt;"manual",$M45&lt;&gt;1)),
IF(Import.TipoArredondamento&lt;&gt;"TransfereGOV",
ROUND(OFFSET($P45,0,AQ$13),15-13*ORÇAMENTO!$AF$7)/$H45*OFFSET(ORÇAMENTO!$X$15,ROW(AQ45)-ROW(AQ$15),0),
ROUND(ROUND(OFFSET($P45,0,AQ$13),15-13*ORÇAMENTO!$AF$7)*OFFSET(ORÇAMENTO!$W$15,ROW(AQ45)-ROW(AQ$15),0),15-13*ORÇAMENTO!$AF$11)),0)</f>
        <v>0</v>
      </c>
      <c r="AR45" s="631">
        <f ca="1">IF(AND($D45="Serviço",AR$12&lt;&gt;0,$H45&gt;0,OR(AUTOEVENTO&lt;&gt;"manual",$M45&lt;&gt;1)),
IF(Import.TipoArredondamento&lt;&gt;"TransfereGOV",
ROUND(OFFSET($P45,0,AR$13),15-13*ORÇAMENTO!$AF$7)/$H45*OFFSET(ORÇAMENTO!$X$15,ROW(AR45)-ROW(AR$15),0),
ROUND(ROUND(OFFSET($P45,0,AR$13),15-13*ORÇAMENTO!$AF$7)*OFFSET(ORÇAMENTO!$W$15,ROW(AR45)-ROW(AR$15),0),15-13*ORÇAMENTO!$AF$11)),0)</f>
        <v>0</v>
      </c>
      <c r="AS45" s="632">
        <f ca="1">IF(AND($D45="Serviço",AS$12&lt;&gt;0,$H45&gt;0,OR(AUTOEVENTO&lt;&gt;"manual",$M45&lt;&gt;1)),
IF(Import.TipoArredondamento&lt;&gt;"TransfereGOV",
ROUND(OFFSET($P45,0,AS$13),15-13*ORÇAMENTO!$AF$7)/$H45*OFFSET(ORÇAMENTO!$X$15,ROW(AS45)-ROW(AS$15),0),
ROUND(ROUND(OFFSET($P45,0,AS$13),15-13*ORÇAMENTO!$AF$7)*OFFSET(ORÇAMENTO!$W$15,ROW(AS45)-ROW(AS$15),0),15-13*ORÇAMENTO!$AF$11)),0)</f>
        <v>0</v>
      </c>
      <c r="AT45" s="631">
        <f ca="1">IF(AND($D45="Serviço",AT$12&lt;&gt;0,$H45&gt;0,OR(AUTOEVENTO&lt;&gt;"manual",$M45&lt;&gt;1)),
IF(Import.TipoArredondamento&lt;&gt;"TransfereGOV",
ROUND(OFFSET($P45,0,AT$13),15-13*ORÇAMENTO!$AF$7)/$H45*OFFSET(ORÇAMENTO!$X$15,ROW(AT45)-ROW(AT$15),0),
ROUND(ROUND(OFFSET($P45,0,AT$13),15-13*ORÇAMENTO!$AF$7)*OFFSET(ORÇAMENTO!$W$15,ROW(AT45)-ROW(AT$15),0),15-13*ORÇAMENTO!$AF$11)),0)</f>
        <v>0</v>
      </c>
      <c r="AU45" s="631">
        <f ca="1">IF(AND($D45="Serviço",AU$12&lt;&gt;0,$H45&gt;0,OR(AUTOEVENTO&lt;&gt;"manual",$M45&lt;&gt;1)),
IF(Import.TipoArredondamento&lt;&gt;"TransfereGOV",
ROUND(OFFSET($P45,0,AU$13),15-13*ORÇAMENTO!$AF$7)/$H45*OFFSET(ORÇAMENTO!$X$15,ROW(AU45)-ROW(AU$15),0),
ROUND(ROUND(OFFSET($P45,0,AU$13),15-13*ORÇAMENTO!$AF$7)*OFFSET(ORÇAMENTO!$W$15,ROW(AU45)-ROW(AU$15),0),15-13*ORÇAMENTO!$AF$11)),0)</f>
        <v>0</v>
      </c>
      <c r="AV45" s="631">
        <f ca="1">IF(AND($D45="Serviço",AV$12&lt;&gt;0,$H45&gt;0,OR(AUTOEVENTO&lt;&gt;"manual",$M45&lt;&gt;1)),
IF(Import.TipoArredondamento&lt;&gt;"TransfereGOV",
ROUND(OFFSET($P45,0,AV$13),15-13*ORÇAMENTO!$AF$7)/$H45*OFFSET(ORÇAMENTO!$X$15,ROW(AV45)-ROW(AV$15),0),
ROUND(ROUND(OFFSET($P45,0,AV$13),15-13*ORÇAMENTO!$AF$7)*OFFSET(ORÇAMENTO!$W$15,ROW(AV45)-ROW(AV$15),0),15-13*ORÇAMENTO!$AF$11)),0)</f>
        <v>0</v>
      </c>
      <c r="AW45" s="631">
        <f ca="1">IF(AND($D45="Serviço",AW$12&lt;&gt;0,$H45&gt;0,OR(AUTOEVENTO&lt;&gt;"manual",$M45&lt;&gt;1)),
IF(Import.TipoArredondamento&lt;&gt;"TransfereGOV",
ROUND(OFFSET($P45,0,AW$13),15-13*ORÇAMENTO!$AF$7)/$H45*OFFSET(ORÇAMENTO!$X$15,ROW(AW45)-ROW(AW$15),0),
ROUND(ROUND(OFFSET($P45,0,AW$13),15-13*ORÇAMENTO!$AF$7)*OFFSET(ORÇAMENTO!$W$15,ROW(AW45)-ROW(AW$15),0),15-13*ORÇAMENTO!$AF$11)),0)</f>
        <v>0</v>
      </c>
      <c r="AX45" s="631">
        <f ca="1">IF(AND($D45="Serviço",AX$12&lt;&gt;0,$H45&gt;0,OR(AUTOEVENTO&lt;&gt;"manual",$M45&lt;&gt;1)),
IF(Import.TipoArredondamento&lt;&gt;"TransfereGOV",
ROUND(OFFSET($P45,0,AX$13),15-13*ORÇAMENTO!$AF$7)/$H45*OFFSET(ORÇAMENTO!$X$15,ROW(AX45)-ROW(AX$15),0),
ROUND(ROUND(OFFSET($P45,0,AX$13),15-13*ORÇAMENTO!$AF$7)*OFFSET(ORÇAMENTO!$W$15,ROW(AX45)-ROW(AX$15),0),15-13*ORÇAMENTO!$AF$11)),0)</f>
        <v>0</v>
      </c>
      <c r="AY45" s="631">
        <f ca="1">IF(AND($D45="Serviço",AY$12&lt;&gt;0,$H45&gt;0,OR(AUTOEVENTO&lt;&gt;"manual",$M45&lt;&gt;1)),
IF(Import.TipoArredondamento&lt;&gt;"TransfereGOV",
ROUND(OFFSET($P45,0,AY$13),15-13*ORÇAMENTO!$AF$7)/$H45*OFFSET(ORÇAMENTO!$X$15,ROW(AY45)-ROW(AY$15),0),
ROUND(ROUND(OFFSET($P45,0,AY$13),15-13*ORÇAMENTO!$AF$7)*OFFSET(ORÇAMENTO!$W$15,ROW(AY45)-ROW(AY$15),0),15-13*ORÇAMENTO!$AF$11)),0)</f>
        <v>0</v>
      </c>
      <c r="AZ45" s="631">
        <f ca="1">IF(AND($D45="Serviço",AZ$12&lt;&gt;0,$H45&gt;0,OR(AUTOEVENTO&lt;&gt;"manual",$M45&lt;&gt;1)),
IF(Import.TipoArredondamento&lt;&gt;"TransfereGOV",
ROUND(OFFSET($P45,0,AZ$13),15-13*ORÇAMENTO!$AF$7)/$H45*OFFSET(ORÇAMENTO!$X$15,ROW(AZ45)-ROW(AZ$15),0),
ROUND(ROUND(OFFSET($P45,0,AZ$13),15-13*ORÇAMENTO!$AF$7)*OFFSET(ORÇAMENTO!$W$15,ROW(AZ45)-ROW(AZ$15),0),15-13*ORÇAMENTO!$AF$11)),0)</f>
        <v>0</v>
      </c>
      <c r="BA45" s="632">
        <f ca="1">IF(AND($D45="Serviço",BA$12&lt;&gt;0,$H45&gt;0,OR(AUTOEVENTO&lt;&gt;"manual",$M45&lt;&gt;1)),
IF(Import.TipoArredondamento&lt;&gt;"TransfereGOV",
ROUND(OFFSET($P45,0,BA$13),15-13*ORÇAMENTO!$AF$7)/$H45*OFFSET(ORÇAMENTO!$X$15,ROW(BA45)-ROW(BA$15),0),
ROUND(ROUND(OFFSET($P45,0,BA$13),15-13*ORÇAMENTO!$AF$7)*OFFSET(ORÇAMENTO!$W$15,ROW(BA45)-ROW(BA$15),0),15-13*ORÇAMENTO!$AF$11)),0)</f>
        <v>0</v>
      </c>
      <c r="BC45" s="216">
        <f ca="1">IF($D45&lt;&gt;"Serviço",0,IF(AND(AUTOEVENTO="Manual",$M45=1),0,IF(OFFSET(CRONOPLE!$F$14,$M45,BC$13)="",10^12,OFFSET(CRONOPLE!$F$14,$M45,BC$13))))</f>
        <v>7</v>
      </c>
      <c r="BD45" s="216">
        <f ca="1">IF($D45&lt;&gt;"Serviço",0,IF(AND(AUTOEVENTO="Manual",$M45=1),0,IF(OFFSET(CRONOPLE!$F$14,$M45,BD$13)="",10^12,OFFSET(CRONOPLE!$F$14,$M45,BD$13))))</f>
        <v>7</v>
      </c>
      <c r="BE45" s="216">
        <f ca="1">IF($D45&lt;&gt;"Serviço",0,IF(AND(AUTOEVENTO="Manual",$M45=1),0,IF(OFFSET(CRONOPLE!$F$14,$M45,BE$13)="",10^12,OFFSET(CRONOPLE!$F$14,$M45,BE$13))))</f>
        <v>7</v>
      </c>
      <c r="BF45" s="216">
        <f ca="1">IF($D45&lt;&gt;"Serviço",0,IF(AND(AUTOEVENTO="Manual",$M45=1),0,IF(OFFSET(CRONOPLE!$F$14,$M45,BF$13)="",10^12,OFFSET(CRONOPLE!$F$14,$M45,BF$13))))</f>
        <v>7</v>
      </c>
      <c r="BG45" s="216">
        <f ca="1">IF($D45&lt;&gt;"Serviço",0,IF(AND(AUTOEVENTO="Manual",$M45=1),0,IF(OFFSET(CRONOPLE!$F$14,$M45,BG$13)="",10^12,OFFSET(CRONOPLE!$F$14,$M45,BG$13))))</f>
        <v>7</v>
      </c>
      <c r="BH45" s="216">
        <f ca="1">IF($D45&lt;&gt;"Serviço",0,IF(AND(AUTOEVENTO="Manual",$M45=1),0,IF(OFFSET(CRONOPLE!$F$14,$M45,BH$13)="",10^12,OFFSET(CRONOPLE!$F$14,$M45,BH$13))))</f>
        <v>7</v>
      </c>
      <c r="BI45" s="216">
        <f ca="1">IF($D45&lt;&gt;"Serviço",0,IF(AND(AUTOEVENTO="Manual",$M45=1),0,IF(OFFSET(CRONOPLE!$F$14,$M45,BI$13)="",10^12,OFFSET(CRONOPLE!$F$14,$M45,BI$13))))</f>
        <v>7</v>
      </c>
      <c r="BJ45" s="216">
        <f ca="1">IF($D45&lt;&gt;"Serviço",0,IF(AND(AUTOEVENTO="Manual",$M45=1),0,IF(OFFSET(CRONOPLE!$F$14,$M45,BJ$13)="",10^12,OFFSET(CRONOPLE!$F$14,$M45,BJ$13))))</f>
        <v>7</v>
      </c>
      <c r="BK45" s="216">
        <f ca="1">IF($D45&lt;&gt;"Serviço",0,IF(AND(AUTOEVENTO="Manual",$M45=1),0,IF(OFFSET(CRONOPLE!$F$14,$M45,BK$13)="",10^12,OFFSET(CRONOPLE!$F$14,$M45,BK$13))))</f>
        <v>7</v>
      </c>
      <c r="BL45" s="216">
        <f ca="1">IF($D45&lt;&gt;"Serviço",0,IF(AND(AUTOEVENTO="Manual",$M45=1),0,IF(OFFSET(CRONOPLE!$F$14,$M45,BL$13)="",10^12,OFFSET(CRONOPLE!$F$14,$M45,BL$13))))</f>
        <v>7</v>
      </c>
      <c r="BM45" s="216">
        <f ca="1">IF($D45&lt;&gt;"Serviço",0,IF(AND(AUTOEVENTO="Manual",$M45=1),0,IF(OFFSET(CRONOPLE!$F$14,$M45,BM$13)="",10^12,OFFSET(CRONOPLE!$F$14,$M45,BM$13))))</f>
        <v>7</v>
      </c>
      <c r="BN45" s="216">
        <f ca="1">IF($D45&lt;&gt;"Serviço",0,IF(AND(AUTOEVENTO="Manual",$M45=1),0,IF(OFFSET(CRONOPLE!$F$14,$M45,BN$13)="",10^12,OFFSET(CRONOPLE!$F$14,$M45,BN$13))))</f>
        <v>7</v>
      </c>
      <c r="BO45" s="216">
        <f ca="1">IF($D45&lt;&gt;"Serviço",0,IF(AND(AUTOEVENTO="Manual",$M45=1),0,IF(OFFSET(CRONOPLE!$F$14,$M45,BO$13)="",10^12,OFFSET(CRONOPLE!$F$14,$M45,BO$13))))</f>
        <v>7</v>
      </c>
      <c r="BP45" s="216">
        <f ca="1">IF($D45&lt;&gt;"Serviço",0,IF(AND(AUTOEVENTO="Manual",$M45=1),0,IF(OFFSET(CRONOPLE!$F$14,$M45,BP$13)="",10^12,OFFSET(CRONOPLE!$F$14,$M45,BP$13))))</f>
        <v>1000000000000</v>
      </c>
      <c r="BQ45" s="216">
        <f ca="1">IF($D45&lt;&gt;"Serviço",0,IF(AND(AUTOEVENTO="Manual",$M45=1),0,IF(OFFSET(CRONOPLE!$F$14,$M45,BQ$13)="",10^12,OFFSET(CRONOPLE!$F$14,$M45,BQ$13))))</f>
        <v>1000000000000</v>
      </c>
      <c r="BR45" s="216">
        <f ca="1">IF($D45&lt;&gt;"Serviço",0,IF(AND(AUTOEVENTO="Manual",$M45=1),0,IF(OFFSET(CRONOPLE!$F$14,$M45,BR$13)="",10^12,OFFSET(CRONOPLE!$F$14,$M45,BR$13))))</f>
        <v>1000000000000</v>
      </c>
      <c r="BS45" s="216">
        <f ca="1">IF($D45&lt;&gt;"Serviço",0,IF(AND(AUTOEVENTO="Manual",$M45=1),0,IF(OFFSET(CRONOPLE!$F$14,$M45,BS$13)="",10^12,OFFSET(CRONOPLE!$F$14,$M45,BS$13))))</f>
        <v>1000000000000</v>
      </c>
      <c r="BT45" s="216">
        <f ca="1">IF($D45&lt;&gt;"Serviço",0,IF(AND(AUTOEVENTO="Manual",$M45=1),0,IF(OFFSET(CRONOPLE!$F$14,$M45,BT$13)="",10^12,OFFSET(CRONOPLE!$F$14,$M45,BT$13))))</f>
        <v>1000000000000</v>
      </c>
      <c r="BV45" s="217">
        <f ca="1">IF($D45&lt;&gt;"Serviço",0,IF(OR(AND(AUTOEVENTO="Manual",$M45=1),$M45&gt;(ROW(PLE.lastrow)-ROW(PLE.firstrow))),0,IF(OFFSET(PLE!$G$14,$M45,BV$13)="",10^12,OFFSET(PLE!$G$14,$M45,BV$13))))</f>
        <v>1000000000000</v>
      </c>
      <c r="BW45" s="217">
        <f ca="1">IF($D45&lt;&gt;"Serviço",0,IF(OR(AND(AUTOEVENTO="Manual",$M45=1),$M45&gt;(ROW(PLE.lastrow)-ROW(PLE.firstrow))),0,IF(OFFSET(PLE!$G$14,$M45,BW$13)="",10^12,OFFSET(PLE!$G$14,$M45,BW$13))))</f>
        <v>1000000000000</v>
      </c>
      <c r="BX45" s="217">
        <f ca="1">IF($D45&lt;&gt;"Serviço",0,IF(OR(AND(AUTOEVENTO="Manual",$M45=1),$M45&gt;(ROW(PLE.lastrow)-ROW(PLE.firstrow))),0,IF(OFFSET(PLE!$G$14,$M45,BX$13)="",10^12,OFFSET(PLE!$G$14,$M45,BX$13))))</f>
        <v>1000000000000</v>
      </c>
      <c r="BY45" s="217">
        <f ca="1">IF($D45&lt;&gt;"Serviço",0,IF(OR(AND(AUTOEVENTO="Manual",$M45=1),$M45&gt;(ROW(PLE.lastrow)-ROW(PLE.firstrow))),0,IF(OFFSET(PLE!$G$14,$M45,BY$13)="",10^12,OFFSET(PLE!$G$14,$M45,BY$13))))</f>
        <v>1000000000000</v>
      </c>
      <c r="BZ45" s="217">
        <f ca="1">IF($D45&lt;&gt;"Serviço",0,IF(OR(AND(AUTOEVENTO="Manual",$M45=1),$M45&gt;(ROW(PLE.lastrow)-ROW(PLE.firstrow))),0,IF(OFFSET(PLE!$G$14,$M45,BZ$13)="",10^12,OFFSET(PLE!$G$14,$M45,BZ$13))))</f>
        <v>1000000000000</v>
      </c>
      <c r="CA45" s="217">
        <f ca="1">IF($D45&lt;&gt;"Serviço",0,IF(OR(AND(AUTOEVENTO="Manual",$M45=1),$M45&gt;(ROW(PLE.lastrow)-ROW(PLE.firstrow))),0,IF(OFFSET(PLE!$G$14,$M45,CA$13)="",10^12,OFFSET(PLE!$G$14,$M45,CA$13))))</f>
        <v>1000000000000</v>
      </c>
      <c r="CB45" s="217">
        <f ca="1">IF($D45&lt;&gt;"Serviço",0,IF(OR(AND(AUTOEVENTO="Manual",$M45=1),$M45&gt;(ROW(PLE.lastrow)-ROW(PLE.firstrow))),0,IF(OFFSET(PLE!$G$14,$M45,CB$13)="",10^12,OFFSET(PLE!$G$14,$M45,CB$13))))</f>
        <v>1000000000000</v>
      </c>
      <c r="CC45" s="217">
        <f ca="1">IF($D45&lt;&gt;"Serviço",0,IF(OR(AND(AUTOEVENTO="Manual",$M45=1),$M45&gt;(ROW(PLE.lastrow)-ROW(PLE.firstrow))),0,IF(OFFSET(PLE!$G$14,$M45,CC$13)="",10^12,OFFSET(PLE!$G$14,$M45,CC$13))))</f>
        <v>1000000000000</v>
      </c>
      <c r="CD45" s="217">
        <f ca="1">IF($D45&lt;&gt;"Serviço",0,IF(OR(AND(AUTOEVENTO="Manual",$M45=1),$M45&gt;(ROW(PLE.lastrow)-ROW(PLE.firstrow))),0,IF(OFFSET(PLE!$G$14,$M45,CD$13)="",10^12,OFFSET(PLE!$G$14,$M45,CD$13))))</f>
        <v>1000000000000</v>
      </c>
      <c r="CE45" s="217">
        <f ca="1">IF($D45&lt;&gt;"Serviço",0,IF(OR(AND(AUTOEVENTO="Manual",$M45=1),$M45&gt;(ROW(PLE.lastrow)-ROW(PLE.firstrow))),0,IF(OFFSET(PLE!$G$14,$M45,CE$13)="",10^12,OFFSET(PLE!$G$14,$M45,CE$13))))</f>
        <v>1000000000000</v>
      </c>
      <c r="CF45" s="217">
        <f ca="1">IF($D45&lt;&gt;"Serviço",0,IF(OR(AND(AUTOEVENTO="Manual",$M45=1),$M45&gt;(ROW(PLE.lastrow)-ROW(PLE.firstrow))),0,IF(OFFSET(PLE!$G$14,$M45,CF$13)="",10^12,OFFSET(PLE!$G$14,$M45,CF$13))))</f>
        <v>1000000000000</v>
      </c>
      <c r="CG45" s="217">
        <f ca="1">IF($D45&lt;&gt;"Serviço",0,IF(OR(AND(AUTOEVENTO="Manual",$M45=1),$M45&gt;(ROW(PLE.lastrow)-ROW(PLE.firstrow))),0,IF(OFFSET(PLE!$G$14,$M45,CG$13)="",10^12,OFFSET(PLE!$G$14,$M45,CG$13))))</f>
        <v>1000000000000</v>
      </c>
      <c r="CH45" s="217">
        <f ca="1">IF($D45&lt;&gt;"Serviço",0,IF(OR(AND(AUTOEVENTO="Manual",$M45=1),$M45&gt;(ROW(PLE.lastrow)-ROW(PLE.firstrow))),0,IF(OFFSET(PLE!$G$14,$M45,CH$13)="",10^12,OFFSET(PLE!$G$14,$M45,CH$13))))</f>
        <v>1000000000000</v>
      </c>
      <c r="CI45" s="217">
        <f ca="1">IF($D45&lt;&gt;"Serviço",0,IF(OR(AND(AUTOEVENTO="Manual",$M45=1),$M45&gt;(ROW(PLE.lastrow)-ROW(PLE.firstrow))),0,IF(OFFSET(PLE!$G$14,$M45,CI$13)="",10^12,OFFSET(PLE!$G$14,$M45,CI$13))))</f>
        <v>1000000000000</v>
      </c>
      <c r="CJ45" s="217">
        <f ca="1">IF($D45&lt;&gt;"Serviço",0,IF(OR(AND(AUTOEVENTO="Manual",$M45=1),$M45&gt;(ROW(PLE.lastrow)-ROW(PLE.firstrow))),0,IF(OFFSET(PLE!$G$14,$M45,CJ$13)="",10^12,OFFSET(PLE!$G$14,$M45,CJ$13))))</f>
        <v>1000000000000</v>
      </c>
      <c r="CK45" s="217">
        <f ca="1">IF($D45&lt;&gt;"Serviço",0,IF(OR(AND(AUTOEVENTO="Manual",$M45=1),$M45&gt;(ROW(PLE.lastrow)-ROW(PLE.firstrow))),0,IF(OFFSET(PLE!$G$14,$M45,CK$13)="",10^12,OFFSET(PLE!$G$14,$M45,CK$13))))</f>
        <v>1000000000000</v>
      </c>
      <c r="CL45" s="217">
        <f ca="1">IF($D45&lt;&gt;"Serviço",0,IF(OR(AND(AUTOEVENTO="Manual",$M45=1),$M45&gt;(ROW(PLE.lastrow)-ROW(PLE.firstrow))),0,IF(OFFSET(PLE!$G$14,$M45,CL$13)="",10^12,OFFSET(PLE!$G$14,$M45,CL$13))))</f>
        <v>1000000000000</v>
      </c>
      <c r="CM45" s="217">
        <f ca="1">IF($D45&lt;&gt;"Serviço",0,IF(OR(AND(AUTOEVENTO="Manual",$M45=1),$M45&gt;(ROW(PLE.lastrow)-ROW(PLE.firstrow))),0,IF(OFFSET(PLE!$G$14,$M45,CM$13)="",10^12,OFFSET(PLE!$G$14,$M45,CM$13))))</f>
        <v>1000000000000</v>
      </c>
    </row>
    <row r="46" spans="1:91" ht="25.5" x14ac:dyDescent="0.2">
      <c r="A46" s="9" t="str">
        <f t="shared" ca="1" si="9"/>
        <v>27</v>
      </c>
      <c r="B46" s="9" t="str">
        <f ca="1">OFFSET(ORÇAMENTO!C$15,ROW(B46)-ROW(B$15),0)</f>
        <v>S</v>
      </c>
      <c r="C46" s="9" t="str">
        <f ca="1">OFFSET(ORÇAMENTO!L$15,ROW(C46)-ROW(C$15),0)</f>
        <v/>
      </c>
      <c r="D46" s="146" t="str">
        <f ca="1">OFFSET(ORÇAMENTO!N$15,ROW(D46)-ROW(D$15),0)</f>
        <v>Serviço</v>
      </c>
      <c r="E46" s="206" t="str">
        <f ca="1">OFFSET(ORÇAMENTO!O$15,ROW(E46)-ROW(E$15),0)</f>
        <v>-</v>
      </c>
      <c r="F46" s="207" t="str">
        <f ca="1">OFFSET(ORÇAMENTO!R$15,ROW(F46)-ROW(F$15),0)</f>
        <v>(abra o arquivo 'Referência 12-2023.xlsm)</v>
      </c>
      <c r="G46" s="208" t="str">
        <f ca="1">IF($D46&lt;&gt;"Serviço","",OFFSET(ORÇAMENTO!S$15,ROW(G46)-ROW(G$15),0))</f>
        <v>-</v>
      </c>
      <c r="H46" s="152">
        <f ca="1">IF($D46&lt;&gt;"Serviço",0,IF(ACOMPANHAMENTO="BM",ROUND(OFFSET(ORÇAMENTO!AJ$15,ROW(H46)-ROW(H$15),0),15-13*ORÇAMENTO!$AF$7),SUMPRODUCT(($Q$12:$AI$12&lt;&gt;"")*ROUND($Q46:$AI46,15-13*ORÇAMENTO!$AF$7))))</f>
        <v>761.4</v>
      </c>
      <c r="I46" s="649" t="s">
        <v>504</v>
      </c>
      <c r="K46" s="209"/>
      <c r="L46" s="210" t="s">
        <v>255</v>
      </c>
      <c r="M46" s="211">
        <f ca="1">IF($D46&lt;&gt;"Serviço","",IF(AUTOEVENTO="manual",$A46,IF(ISERROR(MATCH($A46,$A$15:OFFSET($A46,-1,0),0)),MAX($M$15:OFFSET(M46,-1,0))+1,INDEX($M$15:OFFSET(M46,-1,0),MATCH($A46,$A$15:OFFSET($A46,-1,0),0)))))</f>
        <v>8</v>
      </c>
      <c r="N46" s="212" t="str">
        <f ca="1">IF($D46&lt;&gt;"Serviço","",IF(AUTOEVENTO="Manual",IF($A46=0,"&lt;-- defina o número do agrupador",OFFSET(EVENTOS!$D$14,$A46,0)),OFFSET($F$15,$A46,0)))</f>
        <v>PASSEIO E SINALIZAÇÃO</v>
      </c>
      <c r="O46" s="213"/>
      <c r="Q46" s="213">
        <v>18</v>
      </c>
      <c r="R46" s="214">
        <v>54</v>
      </c>
      <c r="S46" s="214">
        <v>45</v>
      </c>
      <c r="T46" s="214">
        <v>90</v>
      </c>
      <c r="U46" s="214">
        <v>198</v>
      </c>
      <c r="V46" s="214">
        <v>18</v>
      </c>
      <c r="W46" s="214">
        <v>18</v>
      </c>
      <c r="X46" s="214">
        <v>90</v>
      </c>
      <c r="Y46" s="215">
        <v>36</v>
      </c>
      <c r="Z46" s="214">
        <v>99</v>
      </c>
      <c r="AA46" s="214">
        <v>86.4</v>
      </c>
      <c r="AB46" s="214">
        <v>9</v>
      </c>
      <c r="AC46" s="214"/>
      <c r="AD46" s="214"/>
      <c r="AE46" s="214"/>
      <c r="AF46" s="214"/>
      <c r="AG46" s="214"/>
      <c r="AH46" s="215"/>
      <c r="AJ46" s="630">
        <f ca="1">IF(AND($D46="Serviço",AJ$12&lt;&gt;0,$H46&gt;0,OR(AUTOEVENTO&lt;&gt;"manual",$M46&lt;&gt;1)),
IF(Import.TipoArredondamento&lt;&gt;"TransfereGOV",
ROUND(OFFSET($P46,0,AJ$13),15-13*ORÇAMENTO!$AF$7)/$H46*OFFSET(ORÇAMENTO!$X$15,ROW(AJ46)-ROW(AJ$15),0),
ROUND(ROUND(OFFSET($P46,0,AJ$13),15-13*ORÇAMENTO!$AF$7)*OFFSET(ORÇAMENTO!$W$15,ROW(AJ46)-ROW(AJ$15),0),15-13*ORÇAMENTO!$AF$11)),0)</f>
        <v>0</v>
      </c>
      <c r="AK46" s="631">
        <f ca="1">IF(AND($D46="Serviço",AK$12&lt;&gt;0,$H46&gt;0,OR(AUTOEVENTO&lt;&gt;"manual",$M46&lt;&gt;1)),
IF(Import.TipoArredondamento&lt;&gt;"TransfereGOV",
ROUND(OFFSET($P46,0,AK$13),15-13*ORÇAMENTO!$AF$7)/$H46*OFFSET(ORÇAMENTO!$X$15,ROW(AK46)-ROW(AK$15),0),
ROUND(ROUND(OFFSET($P46,0,AK$13),15-13*ORÇAMENTO!$AF$7)*OFFSET(ORÇAMENTO!$W$15,ROW(AK46)-ROW(AK$15),0),15-13*ORÇAMENTO!$AF$11)),0)</f>
        <v>0</v>
      </c>
      <c r="AL46" s="631">
        <f ca="1">IF(AND($D46="Serviço",AL$12&lt;&gt;0,$H46&gt;0,OR(AUTOEVENTO&lt;&gt;"manual",$M46&lt;&gt;1)),
IF(Import.TipoArredondamento&lt;&gt;"TransfereGOV",
ROUND(OFFSET($P46,0,AL$13),15-13*ORÇAMENTO!$AF$7)/$H46*OFFSET(ORÇAMENTO!$X$15,ROW(AL46)-ROW(AL$15),0),
ROUND(ROUND(OFFSET($P46,0,AL$13),15-13*ORÇAMENTO!$AF$7)*OFFSET(ORÇAMENTO!$W$15,ROW(AL46)-ROW(AL$15),0),15-13*ORÇAMENTO!$AF$11)),0)</f>
        <v>0</v>
      </c>
      <c r="AM46" s="631">
        <f ca="1">IF(AND($D46="Serviço",AM$12&lt;&gt;0,$H46&gt;0,OR(AUTOEVENTO&lt;&gt;"manual",$M46&lt;&gt;1)),
IF(Import.TipoArredondamento&lt;&gt;"TransfereGOV",
ROUND(OFFSET($P46,0,AM$13),15-13*ORÇAMENTO!$AF$7)/$H46*OFFSET(ORÇAMENTO!$X$15,ROW(AM46)-ROW(AM$15),0),
ROUND(ROUND(OFFSET($P46,0,AM$13),15-13*ORÇAMENTO!$AF$7)*OFFSET(ORÇAMENTO!$W$15,ROW(AM46)-ROW(AM$15),0),15-13*ORÇAMENTO!$AF$11)),0)</f>
        <v>0</v>
      </c>
      <c r="AN46" s="631">
        <f ca="1">IF(AND($D46="Serviço",AN$12&lt;&gt;0,$H46&gt;0,OR(AUTOEVENTO&lt;&gt;"manual",$M46&lt;&gt;1)),
IF(Import.TipoArredondamento&lt;&gt;"TransfereGOV",
ROUND(OFFSET($P46,0,AN$13),15-13*ORÇAMENTO!$AF$7)/$H46*OFFSET(ORÇAMENTO!$X$15,ROW(AN46)-ROW(AN$15),0),
ROUND(ROUND(OFFSET($P46,0,AN$13),15-13*ORÇAMENTO!$AF$7)*OFFSET(ORÇAMENTO!$W$15,ROW(AN46)-ROW(AN$15),0),15-13*ORÇAMENTO!$AF$11)),0)</f>
        <v>0</v>
      </c>
      <c r="AO46" s="631">
        <f ca="1">IF(AND($D46="Serviço",AO$12&lt;&gt;0,$H46&gt;0,OR(AUTOEVENTO&lt;&gt;"manual",$M46&lt;&gt;1)),
IF(Import.TipoArredondamento&lt;&gt;"TransfereGOV",
ROUND(OFFSET($P46,0,AO$13),15-13*ORÇAMENTO!$AF$7)/$H46*OFFSET(ORÇAMENTO!$X$15,ROW(AO46)-ROW(AO$15),0),
ROUND(ROUND(OFFSET($P46,0,AO$13),15-13*ORÇAMENTO!$AF$7)*OFFSET(ORÇAMENTO!$W$15,ROW(AO46)-ROW(AO$15),0),15-13*ORÇAMENTO!$AF$11)),0)</f>
        <v>0</v>
      </c>
      <c r="AP46" s="631">
        <f ca="1">IF(AND($D46="Serviço",AP$12&lt;&gt;0,$H46&gt;0,OR(AUTOEVENTO&lt;&gt;"manual",$M46&lt;&gt;1)),
IF(Import.TipoArredondamento&lt;&gt;"TransfereGOV",
ROUND(OFFSET($P46,0,AP$13),15-13*ORÇAMENTO!$AF$7)/$H46*OFFSET(ORÇAMENTO!$X$15,ROW(AP46)-ROW(AP$15),0),
ROUND(ROUND(OFFSET($P46,0,AP$13),15-13*ORÇAMENTO!$AF$7)*OFFSET(ORÇAMENTO!$W$15,ROW(AP46)-ROW(AP$15),0),15-13*ORÇAMENTO!$AF$11)),0)</f>
        <v>0</v>
      </c>
      <c r="AQ46" s="631">
        <f ca="1">IF(AND($D46="Serviço",AQ$12&lt;&gt;0,$H46&gt;0,OR(AUTOEVENTO&lt;&gt;"manual",$M46&lt;&gt;1)),
IF(Import.TipoArredondamento&lt;&gt;"TransfereGOV",
ROUND(OFFSET($P46,0,AQ$13),15-13*ORÇAMENTO!$AF$7)/$H46*OFFSET(ORÇAMENTO!$X$15,ROW(AQ46)-ROW(AQ$15),0),
ROUND(ROUND(OFFSET($P46,0,AQ$13),15-13*ORÇAMENTO!$AF$7)*OFFSET(ORÇAMENTO!$W$15,ROW(AQ46)-ROW(AQ$15),0),15-13*ORÇAMENTO!$AF$11)),0)</f>
        <v>0</v>
      </c>
      <c r="AR46" s="631">
        <f ca="1">IF(AND($D46="Serviço",AR$12&lt;&gt;0,$H46&gt;0,OR(AUTOEVENTO&lt;&gt;"manual",$M46&lt;&gt;1)),
IF(Import.TipoArredondamento&lt;&gt;"TransfereGOV",
ROUND(OFFSET($P46,0,AR$13),15-13*ORÇAMENTO!$AF$7)/$H46*OFFSET(ORÇAMENTO!$X$15,ROW(AR46)-ROW(AR$15),0),
ROUND(ROUND(OFFSET($P46,0,AR$13),15-13*ORÇAMENTO!$AF$7)*OFFSET(ORÇAMENTO!$W$15,ROW(AR46)-ROW(AR$15),0),15-13*ORÇAMENTO!$AF$11)),0)</f>
        <v>0</v>
      </c>
      <c r="AS46" s="632">
        <f ca="1">IF(AND($D46="Serviço",AS$12&lt;&gt;0,$H46&gt;0,OR(AUTOEVENTO&lt;&gt;"manual",$M46&lt;&gt;1)),
IF(Import.TipoArredondamento&lt;&gt;"TransfereGOV",
ROUND(OFFSET($P46,0,AS$13),15-13*ORÇAMENTO!$AF$7)/$H46*OFFSET(ORÇAMENTO!$X$15,ROW(AS46)-ROW(AS$15),0),
ROUND(ROUND(OFFSET($P46,0,AS$13),15-13*ORÇAMENTO!$AF$7)*OFFSET(ORÇAMENTO!$W$15,ROW(AS46)-ROW(AS$15),0),15-13*ORÇAMENTO!$AF$11)),0)</f>
        <v>0</v>
      </c>
      <c r="AT46" s="631">
        <f ca="1">IF(AND($D46="Serviço",AT$12&lt;&gt;0,$H46&gt;0,OR(AUTOEVENTO&lt;&gt;"manual",$M46&lt;&gt;1)),
IF(Import.TipoArredondamento&lt;&gt;"TransfereGOV",
ROUND(OFFSET($P46,0,AT$13),15-13*ORÇAMENTO!$AF$7)/$H46*OFFSET(ORÇAMENTO!$X$15,ROW(AT46)-ROW(AT$15),0),
ROUND(ROUND(OFFSET($P46,0,AT$13),15-13*ORÇAMENTO!$AF$7)*OFFSET(ORÇAMENTO!$W$15,ROW(AT46)-ROW(AT$15),0),15-13*ORÇAMENTO!$AF$11)),0)</f>
        <v>0</v>
      </c>
      <c r="AU46" s="631">
        <f ca="1">IF(AND($D46="Serviço",AU$12&lt;&gt;0,$H46&gt;0,OR(AUTOEVENTO&lt;&gt;"manual",$M46&lt;&gt;1)),
IF(Import.TipoArredondamento&lt;&gt;"TransfereGOV",
ROUND(OFFSET($P46,0,AU$13),15-13*ORÇAMENTO!$AF$7)/$H46*OFFSET(ORÇAMENTO!$X$15,ROW(AU46)-ROW(AU$15),0),
ROUND(ROUND(OFFSET($P46,0,AU$13),15-13*ORÇAMENTO!$AF$7)*OFFSET(ORÇAMENTO!$W$15,ROW(AU46)-ROW(AU$15),0),15-13*ORÇAMENTO!$AF$11)),0)</f>
        <v>0</v>
      </c>
      <c r="AV46" s="631">
        <f ca="1">IF(AND($D46="Serviço",AV$12&lt;&gt;0,$H46&gt;0,OR(AUTOEVENTO&lt;&gt;"manual",$M46&lt;&gt;1)),
IF(Import.TipoArredondamento&lt;&gt;"TransfereGOV",
ROUND(OFFSET($P46,0,AV$13),15-13*ORÇAMENTO!$AF$7)/$H46*OFFSET(ORÇAMENTO!$X$15,ROW(AV46)-ROW(AV$15),0),
ROUND(ROUND(OFFSET($P46,0,AV$13),15-13*ORÇAMENTO!$AF$7)*OFFSET(ORÇAMENTO!$W$15,ROW(AV46)-ROW(AV$15),0),15-13*ORÇAMENTO!$AF$11)),0)</f>
        <v>0</v>
      </c>
      <c r="AW46" s="631">
        <f ca="1">IF(AND($D46="Serviço",AW$12&lt;&gt;0,$H46&gt;0,OR(AUTOEVENTO&lt;&gt;"manual",$M46&lt;&gt;1)),
IF(Import.TipoArredondamento&lt;&gt;"TransfereGOV",
ROUND(OFFSET($P46,0,AW$13),15-13*ORÇAMENTO!$AF$7)/$H46*OFFSET(ORÇAMENTO!$X$15,ROW(AW46)-ROW(AW$15),0),
ROUND(ROUND(OFFSET($P46,0,AW$13),15-13*ORÇAMENTO!$AF$7)*OFFSET(ORÇAMENTO!$W$15,ROW(AW46)-ROW(AW$15),0),15-13*ORÇAMENTO!$AF$11)),0)</f>
        <v>0</v>
      </c>
      <c r="AX46" s="631">
        <f ca="1">IF(AND($D46="Serviço",AX$12&lt;&gt;0,$H46&gt;0,OR(AUTOEVENTO&lt;&gt;"manual",$M46&lt;&gt;1)),
IF(Import.TipoArredondamento&lt;&gt;"TransfereGOV",
ROUND(OFFSET($P46,0,AX$13),15-13*ORÇAMENTO!$AF$7)/$H46*OFFSET(ORÇAMENTO!$X$15,ROW(AX46)-ROW(AX$15),0),
ROUND(ROUND(OFFSET($P46,0,AX$13),15-13*ORÇAMENTO!$AF$7)*OFFSET(ORÇAMENTO!$W$15,ROW(AX46)-ROW(AX$15),0),15-13*ORÇAMENTO!$AF$11)),0)</f>
        <v>0</v>
      </c>
      <c r="AY46" s="631">
        <f ca="1">IF(AND($D46="Serviço",AY$12&lt;&gt;0,$H46&gt;0,OR(AUTOEVENTO&lt;&gt;"manual",$M46&lt;&gt;1)),
IF(Import.TipoArredondamento&lt;&gt;"TransfereGOV",
ROUND(OFFSET($P46,0,AY$13),15-13*ORÇAMENTO!$AF$7)/$H46*OFFSET(ORÇAMENTO!$X$15,ROW(AY46)-ROW(AY$15),0),
ROUND(ROUND(OFFSET($P46,0,AY$13),15-13*ORÇAMENTO!$AF$7)*OFFSET(ORÇAMENTO!$W$15,ROW(AY46)-ROW(AY$15),0),15-13*ORÇAMENTO!$AF$11)),0)</f>
        <v>0</v>
      </c>
      <c r="AZ46" s="631">
        <f ca="1">IF(AND($D46="Serviço",AZ$12&lt;&gt;0,$H46&gt;0,OR(AUTOEVENTO&lt;&gt;"manual",$M46&lt;&gt;1)),
IF(Import.TipoArredondamento&lt;&gt;"TransfereGOV",
ROUND(OFFSET($P46,0,AZ$13),15-13*ORÇAMENTO!$AF$7)/$H46*OFFSET(ORÇAMENTO!$X$15,ROW(AZ46)-ROW(AZ$15),0),
ROUND(ROUND(OFFSET($P46,0,AZ$13),15-13*ORÇAMENTO!$AF$7)*OFFSET(ORÇAMENTO!$W$15,ROW(AZ46)-ROW(AZ$15),0),15-13*ORÇAMENTO!$AF$11)),0)</f>
        <v>0</v>
      </c>
      <c r="BA46" s="632">
        <f ca="1">IF(AND($D46="Serviço",BA$12&lt;&gt;0,$H46&gt;0,OR(AUTOEVENTO&lt;&gt;"manual",$M46&lt;&gt;1)),
IF(Import.TipoArredondamento&lt;&gt;"TransfereGOV",
ROUND(OFFSET($P46,0,BA$13),15-13*ORÇAMENTO!$AF$7)/$H46*OFFSET(ORÇAMENTO!$X$15,ROW(BA46)-ROW(BA$15),0),
ROUND(ROUND(OFFSET($P46,0,BA$13),15-13*ORÇAMENTO!$AF$7)*OFFSET(ORÇAMENTO!$W$15,ROW(BA46)-ROW(BA$15),0),15-13*ORÇAMENTO!$AF$11)),0)</f>
        <v>0</v>
      </c>
      <c r="BC46" s="216">
        <f ca="1">IF($D46&lt;&gt;"Serviço",0,IF(AND(AUTOEVENTO="Manual",$M46=1),0,IF(OFFSET(CRONOPLE!$F$14,$M46,BC$13)="",10^12,OFFSET(CRONOPLE!$F$14,$M46,BC$13))))</f>
        <v>7</v>
      </c>
      <c r="BD46" s="216">
        <f ca="1">IF($D46&lt;&gt;"Serviço",0,IF(AND(AUTOEVENTO="Manual",$M46=1),0,IF(OFFSET(CRONOPLE!$F$14,$M46,BD$13)="",10^12,OFFSET(CRONOPLE!$F$14,$M46,BD$13))))</f>
        <v>7</v>
      </c>
      <c r="BE46" s="216">
        <f ca="1">IF($D46&lt;&gt;"Serviço",0,IF(AND(AUTOEVENTO="Manual",$M46=1),0,IF(OFFSET(CRONOPLE!$F$14,$M46,BE$13)="",10^12,OFFSET(CRONOPLE!$F$14,$M46,BE$13))))</f>
        <v>7</v>
      </c>
      <c r="BF46" s="216">
        <f ca="1">IF($D46&lt;&gt;"Serviço",0,IF(AND(AUTOEVENTO="Manual",$M46=1),0,IF(OFFSET(CRONOPLE!$F$14,$M46,BF$13)="",10^12,OFFSET(CRONOPLE!$F$14,$M46,BF$13))))</f>
        <v>7</v>
      </c>
      <c r="BG46" s="216">
        <f ca="1">IF($D46&lt;&gt;"Serviço",0,IF(AND(AUTOEVENTO="Manual",$M46=1),0,IF(OFFSET(CRONOPLE!$F$14,$M46,BG$13)="",10^12,OFFSET(CRONOPLE!$F$14,$M46,BG$13))))</f>
        <v>7</v>
      </c>
      <c r="BH46" s="216">
        <f ca="1">IF($D46&lt;&gt;"Serviço",0,IF(AND(AUTOEVENTO="Manual",$M46=1),0,IF(OFFSET(CRONOPLE!$F$14,$M46,BH$13)="",10^12,OFFSET(CRONOPLE!$F$14,$M46,BH$13))))</f>
        <v>7</v>
      </c>
      <c r="BI46" s="216">
        <f ca="1">IF($D46&lt;&gt;"Serviço",0,IF(AND(AUTOEVENTO="Manual",$M46=1),0,IF(OFFSET(CRONOPLE!$F$14,$M46,BI$13)="",10^12,OFFSET(CRONOPLE!$F$14,$M46,BI$13))))</f>
        <v>7</v>
      </c>
      <c r="BJ46" s="216">
        <f ca="1">IF($D46&lt;&gt;"Serviço",0,IF(AND(AUTOEVENTO="Manual",$M46=1),0,IF(OFFSET(CRONOPLE!$F$14,$M46,BJ$13)="",10^12,OFFSET(CRONOPLE!$F$14,$M46,BJ$13))))</f>
        <v>7</v>
      </c>
      <c r="BK46" s="216">
        <f ca="1">IF($D46&lt;&gt;"Serviço",0,IF(AND(AUTOEVENTO="Manual",$M46=1),0,IF(OFFSET(CRONOPLE!$F$14,$M46,BK$13)="",10^12,OFFSET(CRONOPLE!$F$14,$M46,BK$13))))</f>
        <v>7</v>
      </c>
      <c r="BL46" s="216">
        <f ca="1">IF($D46&lt;&gt;"Serviço",0,IF(AND(AUTOEVENTO="Manual",$M46=1),0,IF(OFFSET(CRONOPLE!$F$14,$M46,BL$13)="",10^12,OFFSET(CRONOPLE!$F$14,$M46,BL$13))))</f>
        <v>7</v>
      </c>
      <c r="BM46" s="216">
        <f ca="1">IF($D46&lt;&gt;"Serviço",0,IF(AND(AUTOEVENTO="Manual",$M46=1),0,IF(OFFSET(CRONOPLE!$F$14,$M46,BM$13)="",10^12,OFFSET(CRONOPLE!$F$14,$M46,BM$13))))</f>
        <v>7</v>
      </c>
      <c r="BN46" s="216">
        <f ca="1">IF($D46&lt;&gt;"Serviço",0,IF(AND(AUTOEVENTO="Manual",$M46=1),0,IF(OFFSET(CRONOPLE!$F$14,$M46,BN$13)="",10^12,OFFSET(CRONOPLE!$F$14,$M46,BN$13))))</f>
        <v>7</v>
      </c>
      <c r="BO46" s="216">
        <f ca="1">IF($D46&lt;&gt;"Serviço",0,IF(AND(AUTOEVENTO="Manual",$M46=1),0,IF(OFFSET(CRONOPLE!$F$14,$M46,BO$13)="",10^12,OFFSET(CRONOPLE!$F$14,$M46,BO$13))))</f>
        <v>7</v>
      </c>
      <c r="BP46" s="216">
        <f ca="1">IF($D46&lt;&gt;"Serviço",0,IF(AND(AUTOEVENTO="Manual",$M46=1),0,IF(OFFSET(CRONOPLE!$F$14,$M46,BP$13)="",10^12,OFFSET(CRONOPLE!$F$14,$M46,BP$13))))</f>
        <v>1000000000000</v>
      </c>
      <c r="BQ46" s="216">
        <f ca="1">IF($D46&lt;&gt;"Serviço",0,IF(AND(AUTOEVENTO="Manual",$M46=1),0,IF(OFFSET(CRONOPLE!$F$14,$M46,BQ$13)="",10^12,OFFSET(CRONOPLE!$F$14,$M46,BQ$13))))</f>
        <v>1000000000000</v>
      </c>
      <c r="BR46" s="216">
        <f ca="1">IF($D46&lt;&gt;"Serviço",0,IF(AND(AUTOEVENTO="Manual",$M46=1),0,IF(OFFSET(CRONOPLE!$F$14,$M46,BR$13)="",10^12,OFFSET(CRONOPLE!$F$14,$M46,BR$13))))</f>
        <v>1000000000000</v>
      </c>
      <c r="BS46" s="216">
        <f ca="1">IF($D46&lt;&gt;"Serviço",0,IF(AND(AUTOEVENTO="Manual",$M46=1),0,IF(OFFSET(CRONOPLE!$F$14,$M46,BS$13)="",10^12,OFFSET(CRONOPLE!$F$14,$M46,BS$13))))</f>
        <v>1000000000000</v>
      </c>
      <c r="BT46" s="216">
        <f ca="1">IF($D46&lt;&gt;"Serviço",0,IF(AND(AUTOEVENTO="Manual",$M46=1),0,IF(OFFSET(CRONOPLE!$F$14,$M46,BT$13)="",10^12,OFFSET(CRONOPLE!$F$14,$M46,BT$13))))</f>
        <v>1000000000000</v>
      </c>
      <c r="BV46" s="217">
        <f ca="1">IF($D46&lt;&gt;"Serviço",0,IF(OR(AND(AUTOEVENTO="Manual",$M46=1),$M46&gt;(ROW(PLE.lastrow)-ROW(PLE.firstrow))),0,IF(OFFSET(PLE!$G$14,$M46,BV$13)="",10^12,OFFSET(PLE!$G$14,$M46,BV$13))))</f>
        <v>1000000000000</v>
      </c>
      <c r="BW46" s="217">
        <f ca="1">IF($D46&lt;&gt;"Serviço",0,IF(OR(AND(AUTOEVENTO="Manual",$M46=1),$M46&gt;(ROW(PLE.lastrow)-ROW(PLE.firstrow))),0,IF(OFFSET(PLE!$G$14,$M46,BW$13)="",10^12,OFFSET(PLE!$G$14,$M46,BW$13))))</f>
        <v>1000000000000</v>
      </c>
      <c r="BX46" s="217">
        <f ca="1">IF($D46&lt;&gt;"Serviço",0,IF(OR(AND(AUTOEVENTO="Manual",$M46=1),$M46&gt;(ROW(PLE.lastrow)-ROW(PLE.firstrow))),0,IF(OFFSET(PLE!$G$14,$M46,BX$13)="",10^12,OFFSET(PLE!$G$14,$M46,BX$13))))</f>
        <v>1000000000000</v>
      </c>
      <c r="BY46" s="217">
        <f ca="1">IF($D46&lt;&gt;"Serviço",0,IF(OR(AND(AUTOEVENTO="Manual",$M46=1),$M46&gt;(ROW(PLE.lastrow)-ROW(PLE.firstrow))),0,IF(OFFSET(PLE!$G$14,$M46,BY$13)="",10^12,OFFSET(PLE!$G$14,$M46,BY$13))))</f>
        <v>1000000000000</v>
      </c>
      <c r="BZ46" s="217">
        <f ca="1">IF($D46&lt;&gt;"Serviço",0,IF(OR(AND(AUTOEVENTO="Manual",$M46=1),$M46&gt;(ROW(PLE.lastrow)-ROW(PLE.firstrow))),0,IF(OFFSET(PLE!$G$14,$M46,BZ$13)="",10^12,OFFSET(PLE!$G$14,$M46,BZ$13))))</f>
        <v>1000000000000</v>
      </c>
      <c r="CA46" s="217">
        <f ca="1">IF($D46&lt;&gt;"Serviço",0,IF(OR(AND(AUTOEVENTO="Manual",$M46=1),$M46&gt;(ROW(PLE.lastrow)-ROW(PLE.firstrow))),0,IF(OFFSET(PLE!$G$14,$M46,CA$13)="",10^12,OFFSET(PLE!$G$14,$M46,CA$13))))</f>
        <v>1000000000000</v>
      </c>
      <c r="CB46" s="217">
        <f ca="1">IF($D46&lt;&gt;"Serviço",0,IF(OR(AND(AUTOEVENTO="Manual",$M46=1),$M46&gt;(ROW(PLE.lastrow)-ROW(PLE.firstrow))),0,IF(OFFSET(PLE!$G$14,$M46,CB$13)="",10^12,OFFSET(PLE!$G$14,$M46,CB$13))))</f>
        <v>1000000000000</v>
      </c>
      <c r="CC46" s="217">
        <f ca="1">IF($D46&lt;&gt;"Serviço",0,IF(OR(AND(AUTOEVENTO="Manual",$M46=1),$M46&gt;(ROW(PLE.lastrow)-ROW(PLE.firstrow))),0,IF(OFFSET(PLE!$G$14,$M46,CC$13)="",10^12,OFFSET(PLE!$G$14,$M46,CC$13))))</f>
        <v>1000000000000</v>
      </c>
      <c r="CD46" s="217">
        <f ca="1">IF($D46&lt;&gt;"Serviço",0,IF(OR(AND(AUTOEVENTO="Manual",$M46=1),$M46&gt;(ROW(PLE.lastrow)-ROW(PLE.firstrow))),0,IF(OFFSET(PLE!$G$14,$M46,CD$13)="",10^12,OFFSET(PLE!$G$14,$M46,CD$13))))</f>
        <v>1000000000000</v>
      </c>
      <c r="CE46" s="217">
        <f ca="1">IF($D46&lt;&gt;"Serviço",0,IF(OR(AND(AUTOEVENTO="Manual",$M46=1),$M46&gt;(ROW(PLE.lastrow)-ROW(PLE.firstrow))),0,IF(OFFSET(PLE!$G$14,$M46,CE$13)="",10^12,OFFSET(PLE!$G$14,$M46,CE$13))))</f>
        <v>1000000000000</v>
      </c>
      <c r="CF46" s="217">
        <f ca="1">IF($D46&lt;&gt;"Serviço",0,IF(OR(AND(AUTOEVENTO="Manual",$M46=1),$M46&gt;(ROW(PLE.lastrow)-ROW(PLE.firstrow))),0,IF(OFFSET(PLE!$G$14,$M46,CF$13)="",10^12,OFFSET(PLE!$G$14,$M46,CF$13))))</f>
        <v>1000000000000</v>
      </c>
      <c r="CG46" s="217">
        <f ca="1">IF($D46&lt;&gt;"Serviço",0,IF(OR(AND(AUTOEVENTO="Manual",$M46=1),$M46&gt;(ROW(PLE.lastrow)-ROW(PLE.firstrow))),0,IF(OFFSET(PLE!$G$14,$M46,CG$13)="",10^12,OFFSET(PLE!$G$14,$M46,CG$13))))</f>
        <v>1000000000000</v>
      </c>
      <c r="CH46" s="217">
        <f ca="1">IF($D46&lt;&gt;"Serviço",0,IF(OR(AND(AUTOEVENTO="Manual",$M46=1),$M46&gt;(ROW(PLE.lastrow)-ROW(PLE.firstrow))),0,IF(OFFSET(PLE!$G$14,$M46,CH$13)="",10^12,OFFSET(PLE!$G$14,$M46,CH$13))))</f>
        <v>1000000000000</v>
      </c>
      <c r="CI46" s="217">
        <f ca="1">IF($D46&lt;&gt;"Serviço",0,IF(OR(AND(AUTOEVENTO="Manual",$M46=1),$M46&gt;(ROW(PLE.lastrow)-ROW(PLE.firstrow))),0,IF(OFFSET(PLE!$G$14,$M46,CI$13)="",10^12,OFFSET(PLE!$G$14,$M46,CI$13))))</f>
        <v>1000000000000</v>
      </c>
      <c r="CJ46" s="217">
        <f ca="1">IF($D46&lt;&gt;"Serviço",0,IF(OR(AND(AUTOEVENTO="Manual",$M46=1),$M46&gt;(ROW(PLE.lastrow)-ROW(PLE.firstrow))),0,IF(OFFSET(PLE!$G$14,$M46,CJ$13)="",10^12,OFFSET(PLE!$G$14,$M46,CJ$13))))</f>
        <v>1000000000000</v>
      </c>
      <c r="CK46" s="217">
        <f ca="1">IF($D46&lt;&gt;"Serviço",0,IF(OR(AND(AUTOEVENTO="Manual",$M46=1),$M46&gt;(ROW(PLE.lastrow)-ROW(PLE.firstrow))),0,IF(OFFSET(PLE!$G$14,$M46,CK$13)="",10^12,OFFSET(PLE!$G$14,$M46,CK$13))))</f>
        <v>1000000000000</v>
      </c>
      <c r="CL46" s="217">
        <f ca="1">IF($D46&lt;&gt;"Serviço",0,IF(OR(AND(AUTOEVENTO="Manual",$M46=1),$M46&gt;(ROW(PLE.lastrow)-ROW(PLE.firstrow))),0,IF(OFFSET(PLE!$G$14,$M46,CL$13)="",10^12,OFFSET(PLE!$G$14,$M46,CL$13))))</f>
        <v>1000000000000</v>
      </c>
      <c r="CM46" s="217">
        <f ca="1">IF($D46&lt;&gt;"Serviço",0,IF(OR(AND(AUTOEVENTO="Manual",$M46=1),$M46&gt;(ROW(PLE.lastrow)-ROW(PLE.firstrow))),0,IF(OFFSET(PLE!$G$14,$M46,CM$13)="",10^12,OFFSET(PLE!$G$14,$M46,CM$13))))</f>
        <v>1000000000000</v>
      </c>
    </row>
    <row r="47" spans="1:91" ht="25.5" x14ac:dyDescent="0.2">
      <c r="A47" s="9" t="str">
        <f t="shared" ca="1" si="9"/>
        <v>27</v>
      </c>
      <c r="B47" s="9" t="str">
        <f ca="1">OFFSET(ORÇAMENTO!C$15,ROW(B47)-ROW(B$15),0)</f>
        <v>S</v>
      </c>
      <c r="C47" s="9" t="str">
        <f ca="1">OFFSET(ORÇAMENTO!L$15,ROW(C47)-ROW(C$15),0)</f>
        <v/>
      </c>
      <c r="D47" s="146" t="str">
        <f ca="1">OFFSET(ORÇAMENTO!N$15,ROW(D47)-ROW(D$15),0)</f>
        <v>Serviço</v>
      </c>
      <c r="E47" s="206" t="str">
        <f ca="1">OFFSET(ORÇAMENTO!O$15,ROW(E47)-ROW(E$15),0)</f>
        <v>-</v>
      </c>
      <c r="F47" s="207" t="str">
        <f ca="1">OFFSET(ORÇAMENTO!R$15,ROW(F47)-ROW(F$15),0)</f>
        <v>(abra o arquivo 'Referência 12-2023.xlsm)</v>
      </c>
      <c r="G47" s="208" t="str">
        <f ca="1">IF($D47&lt;&gt;"Serviço","",OFFSET(ORÇAMENTO!S$15,ROW(G47)-ROW(G$15),0))</f>
        <v>-</v>
      </c>
      <c r="H47" s="152">
        <f ca="1">IF($D47&lt;&gt;"Serviço",0,IF(ACOMPANHAMENTO="BM",ROUND(OFFSET(ORÇAMENTO!AJ$15,ROW(H47)-ROW(H$15),0),15-13*ORÇAMENTO!$AF$7),SUMPRODUCT(($Q$12:$AI$12&lt;&gt;"")*ROUND($Q47:$AI47,15-13*ORÇAMENTO!$AF$7))))</f>
        <v>30.779999999999998</v>
      </c>
      <c r="I47" s="649" t="s">
        <v>504</v>
      </c>
      <c r="K47" s="209"/>
      <c r="L47" s="210" t="s">
        <v>255</v>
      </c>
      <c r="M47" s="211">
        <f ca="1">IF($D47&lt;&gt;"Serviço","",IF(AUTOEVENTO="manual",$A47,IF(ISERROR(MATCH($A47,$A$15:OFFSET($A47,-1,0),0)),MAX($M$15:OFFSET(M47,-1,0))+1,INDEX($M$15:OFFSET(M47,-1,0),MATCH($A47,$A$15:OFFSET($A47,-1,0),0)))))</f>
        <v>8</v>
      </c>
      <c r="N47" s="212" t="str">
        <f ca="1">IF($D47&lt;&gt;"Serviço","",IF(AUTOEVENTO="Manual",IF($A47=0,"&lt;-- defina o número do agrupador",OFFSET(EVENTOS!$D$14,$A47,0)),OFFSET($F$15,$A47,0)))</f>
        <v>PASSEIO E SINALIZAÇÃO</v>
      </c>
      <c r="O47" s="213"/>
      <c r="Q47" s="213">
        <v>0.76</v>
      </c>
      <c r="R47" s="214">
        <v>2.2799999999999998</v>
      </c>
      <c r="S47" s="214">
        <v>1.9</v>
      </c>
      <c r="T47" s="214">
        <v>3.8</v>
      </c>
      <c r="U47" s="214">
        <v>7.6</v>
      </c>
      <c r="V47" s="214">
        <v>0.76</v>
      </c>
      <c r="W47" s="214">
        <v>0.76</v>
      </c>
      <c r="X47" s="214">
        <v>3.8</v>
      </c>
      <c r="Y47" s="215">
        <v>1.52</v>
      </c>
      <c r="Z47" s="214">
        <v>4.18</v>
      </c>
      <c r="AA47" s="214">
        <v>3.04</v>
      </c>
      <c r="AB47" s="214">
        <v>0.38</v>
      </c>
      <c r="AC47" s="214"/>
      <c r="AD47" s="214"/>
      <c r="AE47" s="214"/>
      <c r="AF47" s="214"/>
      <c r="AG47" s="214"/>
      <c r="AH47" s="215"/>
      <c r="AJ47" s="630">
        <f ca="1">IF(AND($D47="Serviço",AJ$12&lt;&gt;0,$H47&gt;0,OR(AUTOEVENTO&lt;&gt;"manual",$M47&lt;&gt;1)),
IF(Import.TipoArredondamento&lt;&gt;"TransfereGOV",
ROUND(OFFSET($P47,0,AJ$13),15-13*ORÇAMENTO!$AF$7)/$H47*OFFSET(ORÇAMENTO!$X$15,ROW(AJ47)-ROW(AJ$15),0),
ROUND(ROUND(OFFSET($P47,0,AJ$13),15-13*ORÇAMENTO!$AF$7)*OFFSET(ORÇAMENTO!$W$15,ROW(AJ47)-ROW(AJ$15),0),15-13*ORÇAMENTO!$AF$11)),0)</f>
        <v>0</v>
      </c>
      <c r="AK47" s="631">
        <f ca="1">IF(AND($D47="Serviço",AK$12&lt;&gt;0,$H47&gt;0,OR(AUTOEVENTO&lt;&gt;"manual",$M47&lt;&gt;1)),
IF(Import.TipoArredondamento&lt;&gt;"TransfereGOV",
ROUND(OFFSET($P47,0,AK$13),15-13*ORÇAMENTO!$AF$7)/$H47*OFFSET(ORÇAMENTO!$X$15,ROW(AK47)-ROW(AK$15),0),
ROUND(ROUND(OFFSET($P47,0,AK$13),15-13*ORÇAMENTO!$AF$7)*OFFSET(ORÇAMENTO!$W$15,ROW(AK47)-ROW(AK$15),0),15-13*ORÇAMENTO!$AF$11)),0)</f>
        <v>0</v>
      </c>
      <c r="AL47" s="631">
        <f ca="1">IF(AND($D47="Serviço",AL$12&lt;&gt;0,$H47&gt;0,OR(AUTOEVENTO&lt;&gt;"manual",$M47&lt;&gt;1)),
IF(Import.TipoArredondamento&lt;&gt;"TransfereGOV",
ROUND(OFFSET($P47,0,AL$13),15-13*ORÇAMENTO!$AF$7)/$H47*OFFSET(ORÇAMENTO!$X$15,ROW(AL47)-ROW(AL$15),0),
ROUND(ROUND(OFFSET($P47,0,AL$13),15-13*ORÇAMENTO!$AF$7)*OFFSET(ORÇAMENTO!$W$15,ROW(AL47)-ROW(AL$15),0),15-13*ORÇAMENTO!$AF$11)),0)</f>
        <v>0</v>
      </c>
      <c r="AM47" s="631">
        <f ca="1">IF(AND($D47="Serviço",AM$12&lt;&gt;0,$H47&gt;0,OR(AUTOEVENTO&lt;&gt;"manual",$M47&lt;&gt;1)),
IF(Import.TipoArredondamento&lt;&gt;"TransfereGOV",
ROUND(OFFSET($P47,0,AM$13),15-13*ORÇAMENTO!$AF$7)/$H47*OFFSET(ORÇAMENTO!$X$15,ROW(AM47)-ROW(AM$15),0),
ROUND(ROUND(OFFSET($P47,0,AM$13),15-13*ORÇAMENTO!$AF$7)*OFFSET(ORÇAMENTO!$W$15,ROW(AM47)-ROW(AM$15),0),15-13*ORÇAMENTO!$AF$11)),0)</f>
        <v>0</v>
      </c>
      <c r="AN47" s="631">
        <f ca="1">IF(AND($D47="Serviço",AN$12&lt;&gt;0,$H47&gt;0,OR(AUTOEVENTO&lt;&gt;"manual",$M47&lt;&gt;1)),
IF(Import.TipoArredondamento&lt;&gt;"TransfereGOV",
ROUND(OFFSET($P47,0,AN$13),15-13*ORÇAMENTO!$AF$7)/$H47*OFFSET(ORÇAMENTO!$X$15,ROW(AN47)-ROW(AN$15),0),
ROUND(ROUND(OFFSET($P47,0,AN$13),15-13*ORÇAMENTO!$AF$7)*OFFSET(ORÇAMENTO!$W$15,ROW(AN47)-ROW(AN$15),0),15-13*ORÇAMENTO!$AF$11)),0)</f>
        <v>0</v>
      </c>
      <c r="AO47" s="631">
        <f ca="1">IF(AND($D47="Serviço",AO$12&lt;&gt;0,$H47&gt;0,OR(AUTOEVENTO&lt;&gt;"manual",$M47&lt;&gt;1)),
IF(Import.TipoArredondamento&lt;&gt;"TransfereGOV",
ROUND(OFFSET($P47,0,AO$13),15-13*ORÇAMENTO!$AF$7)/$H47*OFFSET(ORÇAMENTO!$X$15,ROW(AO47)-ROW(AO$15),0),
ROUND(ROUND(OFFSET($P47,0,AO$13),15-13*ORÇAMENTO!$AF$7)*OFFSET(ORÇAMENTO!$W$15,ROW(AO47)-ROW(AO$15),0),15-13*ORÇAMENTO!$AF$11)),0)</f>
        <v>0</v>
      </c>
      <c r="AP47" s="631">
        <f ca="1">IF(AND($D47="Serviço",AP$12&lt;&gt;0,$H47&gt;0,OR(AUTOEVENTO&lt;&gt;"manual",$M47&lt;&gt;1)),
IF(Import.TipoArredondamento&lt;&gt;"TransfereGOV",
ROUND(OFFSET($P47,0,AP$13),15-13*ORÇAMENTO!$AF$7)/$H47*OFFSET(ORÇAMENTO!$X$15,ROW(AP47)-ROW(AP$15),0),
ROUND(ROUND(OFFSET($P47,0,AP$13),15-13*ORÇAMENTO!$AF$7)*OFFSET(ORÇAMENTO!$W$15,ROW(AP47)-ROW(AP$15),0),15-13*ORÇAMENTO!$AF$11)),0)</f>
        <v>0</v>
      </c>
      <c r="AQ47" s="631">
        <f ca="1">IF(AND($D47="Serviço",AQ$12&lt;&gt;0,$H47&gt;0,OR(AUTOEVENTO&lt;&gt;"manual",$M47&lt;&gt;1)),
IF(Import.TipoArredondamento&lt;&gt;"TransfereGOV",
ROUND(OFFSET($P47,0,AQ$13),15-13*ORÇAMENTO!$AF$7)/$H47*OFFSET(ORÇAMENTO!$X$15,ROW(AQ47)-ROW(AQ$15),0),
ROUND(ROUND(OFFSET($P47,0,AQ$13),15-13*ORÇAMENTO!$AF$7)*OFFSET(ORÇAMENTO!$W$15,ROW(AQ47)-ROW(AQ$15),0),15-13*ORÇAMENTO!$AF$11)),0)</f>
        <v>0</v>
      </c>
      <c r="AR47" s="631">
        <f ca="1">IF(AND($D47="Serviço",AR$12&lt;&gt;0,$H47&gt;0,OR(AUTOEVENTO&lt;&gt;"manual",$M47&lt;&gt;1)),
IF(Import.TipoArredondamento&lt;&gt;"TransfereGOV",
ROUND(OFFSET($P47,0,AR$13),15-13*ORÇAMENTO!$AF$7)/$H47*OFFSET(ORÇAMENTO!$X$15,ROW(AR47)-ROW(AR$15),0),
ROUND(ROUND(OFFSET($P47,0,AR$13),15-13*ORÇAMENTO!$AF$7)*OFFSET(ORÇAMENTO!$W$15,ROW(AR47)-ROW(AR$15),0),15-13*ORÇAMENTO!$AF$11)),0)</f>
        <v>0</v>
      </c>
      <c r="AS47" s="632">
        <f ca="1">IF(AND($D47="Serviço",AS$12&lt;&gt;0,$H47&gt;0,OR(AUTOEVENTO&lt;&gt;"manual",$M47&lt;&gt;1)),
IF(Import.TipoArredondamento&lt;&gt;"TransfereGOV",
ROUND(OFFSET($P47,0,AS$13),15-13*ORÇAMENTO!$AF$7)/$H47*OFFSET(ORÇAMENTO!$X$15,ROW(AS47)-ROW(AS$15),0),
ROUND(ROUND(OFFSET($P47,0,AS$13),15-13*ORÇAMENTO!$AF$7)*OFFSET(ORÇAMENTO!$W$15,ROW(AS47)-ROW(AS$15),0),15-13*ORÇAMENTO!$AF$11)),0)</f>
        <v>0</v>
      </c>
      <c r="AT47" s="631">
        <f ca="1">IF(AND($D47="Serviço",AT$12&lt;&gt;0,$H47&gt;0,OR(AUTOEVENTO&lt;&gt;"manual",$M47&lt;&gt;1)),
IF(Import.TipoArredondamento&lt;&gt;"TransfereGOV",
ROUND(OFFSET($P47,0,AT$13),15-13*ORÇAMENTO!$AF$7)/$H47*OFFSET(ORÇAMENTO!$X$15,ROW(AT47)-ROW(AT$15),0),
ROUND(ROUND(OFFSET($P47,0,AT$13),15-13*ORÇAMENTO!$AF$7)*OFFSET(ORÇAMENTO!$W$15,ROW(AT47)-ROW(AT$15),0),15-13*ORÇAMENTO!$AF$11)),0)</f>
        <v>0</v>
      </c>
      <c r="AU47" s="631">
        <f ca="1">IF(AND($D47="Serviço",AU$12&lt;&gt;0,$H47&gt;0,OR(AUTOEVENTO&lt;&gt;"manual",$M47&lt;&gt;1)),
IF(Import.TipoArredondamento&lt;&gt;"TransfereGOV",
ROUND(OFFSET($P47,0,AU$13),15-13*ORÇAMENTO!$AF$7)/$H47*OFFSET(ORÇAMENTO!$X$15,ROW(AU47)-ROW(AU$15),0),
ROUND(ROUND(OFFSET($P47,0,AU$13),15-13*ORÇAMENTO!$AF$7)*OFFSET(ORÇAMENTO!$W$15,ROW(AU47)-ROW(AU$15),0),15-13*ORÇAMENTO!$AF$11)),0)</f>
        <v>0</v>
      </c>
      <c r="AV47" s="631">
        <f ca="1">IF(AND($D47="Serviço",AV$12&lt;&gt;0,$H47&gt;0,OR(AUTOEVENTO&lt;&gt;"manual",$M47&lt;&gt;1)),
IF(Import.TipoArredondamento&lt;&gt;"TransfereGOV",
ROUND(OFFSET($P47,0,AV$13),15-13*ORÇAMENTO!$AF$7)/$H47*OFFSET(ORÇAMENTO!$X$15,ROW(AV47)-ROW(AV$15),0),
ROUND(ROUND(OFFSET($P47,0,AV$13),15-13*ORÇAMENTO!$AF$7)*OFFSET(ORÇAMENTO!$W$15,ROW(AV47)-ROW(AV$15),0),15-13*ORÇAMENTO!$AF$11)),0)</f>
        <v>0</v>
      </c>
      <c r="AW47" s="631">
        <f ca="1">IF(AND($D47="Serviço",AW$12&lt;&gt;0,$H47&gt;0,OR(AUTOEVENTO&lt;&gt;"manual",$M47&lt;&gt;1)),
IF(Import.TipoArredondamento&lt;&gt;"TransfereGOV",
ROUND(OFFSET($P47,0,AW$13),15-13*ORÇAMENTO!$AF$7)/$H47*OFFSET(ORÇAMENTO!$X$15,ROW(AW47)-ROW(AW$15),0),
ROUND(ROUND(OFFSET($P47,0,AW$13),15-13*ORÇAMENTO!$AF$7)*OFFSET(ORÇAMENTO!$W$15,ROW(AW47)-ROW(AW$15),0),15-13*ORÇAMENTO!$AF$11)),0)</f>
        <v>0</v>
      </c>
      <c r="AX47" s="631">
        <f ca="1">IF(AND($D47="Serviço",AX$12&lt;&gt;0,$H47&gt;0,OR(AUTOEVENTO&lt;&gt;"manual",$M47&lt;&gt;1)),
IF(Import.TipoArredondamento&lt;&gt;"TransfereGOV",
ROUND(OFFSET($P47,0,AX$13),15-13*ORÇAMENTO!$AF$7)/$H47*OFFSET(ORÇAMENTO!$X$15,ROW(AX47)-ROW(AX$15),0),
ROUND(ROUND(OFFSET($P47,0,AX$13),15-13*ORÇAMENTO!$AF$7)*OFFSET(ORÇAMENTO!$W$15,ROW(AX47)-ROW(AX$15),0),15-13*ORÇAMENTO!$AF$11)),0)</f>
        <v>0</v>
      </c>
      <c r="AY47" s="631">
        <f ca="1">IF(AND($D47="Serviço",AY$12&lt;&gt;0,$H47&gt;0,OR(AUTOEVENTO&lt;&gt;"manual",$M47&lt;&gt;1)),
IF(Import.TipoArredondamento&lt;&gt;"TransfereGOV",
ROUND(OFFSET($P47,0,AY$13),15-13*ORÇAMENTO!$AF$7)/$H47*OFFSET(ORÇAMENTO!$X$15,ROW(AY47)-ROW(AY$15),0),
ROUND(ROUND(OFFSET($P47,0,AY$13),15-13*ORÇAMENTO!$AF$7)*OFFSET(ORÇAMENTO!$W$15,ROW(AY47)-ROW(AY$15),0),15-13*ORÇAMENTO!$AF$11)),0)</f>
        <v>0</v>
      </c>
      <c r="AZ47" s="631">
        <f ca="1">IF(AND($D47="Serviço",AZ$12&lt;&gt;0,$H47&gt;0,OR(AUTOEVENTO&lt;&gt;"manual",$M47&lt;&gt;1)),
IF(Import.TipoArredondamento&lt;&gt;"TransfereGOV",
ROUND(OFFSET($P47,0,AZ$13),15-13*ORÇAMENTO!$AF$7)/$H47*OFFSET(ORÇAMENTO!$X$15,ROW(AZ47)-ROW(AZ$15),0),
ROUND(ROUND(OFFSET($P47,0,AZ$13),15-13*ORÇAMENTO!$AF$7)*OFFSET(ORÇAMENTO!$W$15,ROW(AZ47)-ROW(AZ$15),0),15-13*ORÇAMENTO!$AF$11)),0)</f>
        <v>0</v>
      </c>
      <c r="BA47" s="632">
        <f ca="1">IF(AND($D47="Serviço",BA$12&lt;&gt;0,$H47&gt;0,OR(AUTOEVENTO&lt;&gt;"manual",$M47&lt;&gt;1)),
IF(Import.TipoArredondamento&lt;&gt;"TransfereGOV",
ROUND(OFFSET($P47,0,BA$13),15-13*ORÇAMENTO!$AF$7)/$H47*OFFSET(ORÇAMENTO!$X$15,ROW(BA47)-ROW(BA$15),0),
ROUND(ROUND(OFFSET($P47,0,BA$13),15-13*ORÇAMENTO!$AF$7)*OFFSET(ORÇAMENTO!$W$15,ROW(BA47)-ROW(BA$15),0),15-13*ORÇAMENTO!$AF$11)),0)</f>
        <v>0</v>
      </c>
      <c r="BC47" s="216">
        <f ca="1">IF($D47&lt;&gt;"Serviço",0,IF(AND(AUTOEVENTO="Manual",$M47=1),0,IF(OFFSET(CRONOPLE!$F$14,$M47,BC$13)="",10^12,OFFSET(CRONOPLE!$F$14,$M47,BC$13))))</f>
        <v>7</v>
      </c>
      <c r="BD47" s="216">
        <f ca="1">IF($D47&lt;&gt;"Serviço",0,IF(AND(AUTOEVENTO="Manual",$M47=1),0,IF(OFFSET(CRONOPLE!$F$14,$M47,BD$13)="",10^12,OFFSET(CRONOPLE!$F$14,$M47,BD$13))))</f>
        <v>7</v>
      </c>
      <c r="BE47" s="216">
        <f ca="1">IF($D47&lt;&gt;"Serviço",0,IF(AND(AUTOEVENTO="Manual",$M47=1),0,IF(OFFSET(CRONOPLE!$F$14,$M47,BE$13)="",10^12,OFFSET(CRONOPLE!$F$14,$M47,BE$13))))</f>
        <v>7</v>
      </c>
      <c r="BF47" s="216">
        <f ca="1">IF($D47&lt;&gt;"Serviço",0,IF(AND(AUTOEVENTO="Manual",$M47=1),0,IF(OFFSET(CRONOPLE!$F$14,$M47,BF$13)="",10^12,OFFSET(CRONOPLE!$F$14,$M47,BF$13))))</f>
        <v>7</v>
      </c>
      <c r="BG47" s="216">
        <f ca="1">IF($D47&lt;&gt;"Serviço",0,IF(AND(AUTOEVENTO="Manual",$M47=1),0,IF(OFFSET(CRONOPLE!$F$14,$M47,BG$13)="",10^12,OFFSET(CRONOPLE!$F$14,$M47,BG$13))))</f>
        <v>7</v>
      </c>
      <c r="BH47" s="216">
        <f ca="1">IF($D47&lt;&gt;"Serviço",0,IF(AND(AUTOEVENTO="Manual",$M47=1),0,IF(OFFSET(CRONOPLE!$F$14,$M47,BH$13)="",10^12,OFFSET(CRONOPLE!$F$14,$M47,BH$13))))</f>
        <v>7</v>
      </c>
      <c r="BI47" s="216">
        <f ca="1">IF($D47&lt;&gt;"Serviço",0,IF(AND(AUTOEVENTO="Manual",$M47=1),0,IF(OFFSET(CRONOPLE!$F$14,$M47,BI$13)="",10^12,OFFSET(CRONOPLE!$F$14,$M47,BI$13))))</f>
        <v>7</v>
      </c>
      <c r="BJ47" s="216">
        <f ca="1">IF($D47&lt;&gt;"Serviço",0,IF(AND(AUTOEVENTO="Manual",$M47=1),0,IF(OFFSET(CRONOPLE!$F$14,$M47,BJ$13)="",10^12,OFFSET(CRONOPLE!$F$14,$M47,BJ$13))))</f>
        <v>7</v>
      </c>
      <c r="BK47" s="216">
        <f ca="1">IF($D47&lt;&gt;"Serviço",0,IF(AND(AUTOEVENTO="Manual",$M47=1),0,IF(OFFSET(CRONOPLE!$F$14,$M47,BK$13)="",10^12,OFFSET(CRONOPLE!$F$14,$M47,BK$13))))</f>
        <v>7</v>
      </c>
      <c r="BL47" s="216">
        <f ca="1">IF($D47&lt;&gt;"Serviço",0,IF(AND(AUTOEVENTO="Manual",$M47=1),0,IF(OFFSET(CRONOPLE!$F$14,$M47,BL$13)="",10^12,OFFSET(CRONOPLE!$F$14,$M47,BL$13))))</f>
        <v>7</v>
      </c>
      <c r="BM47" s="216">
        <f ca="1">IF($D47&lt;&gt;"Serviço",0,IF(AND(AUTOEVENTO="Manual",$M47=1),0,IF(OFFSET(CRONOPLE!$F$14,$M47,BM$13)="",10^12,OFFSET(CRONOPLE!$F$14,$M47,BM$13))))</f>
        <v>7</v>
      </c>
      <c r="BN47" s="216">
        <f ca="1">IF($D47&lt;&gt;"Serviço",0,IF(AND(AUTOEVENTO="Manual",$M47=1),0,IF(OFFSET(CRONOPLE!$F$14,$M47,BN$13)="",10^12,OFFSET(CRONOPLE!$F$14,$M47,BN$13))))</f>
        <v>7</v>
      </c>
      <c r="BO47" s="216">
        <f ca="1">IF($D47&lt;&gt;"Serviço",0,IF(AND(AUTOEVENTO="Manual",$M47=1),0,IF(OFFSET(CRONOPLE!$F$14,$M47,BO$13)="",10^12,OFFSET(CRONOPLE!$F$14,$M47,BO$13))))</f>
        <v>7</v>
      </c>
      <c r="BP47" s="216">
        <f ca="1">IF($D47&lt;&gt;"Serviço",0,IF(AND(AUTOEVENTO="Manual",$M47=1),0,IF(OFFSET(CRONOPLE!$F$14,$M47,BP$13)="",10^12,OFFSET(CRONOPLE!$F$14,$M47,BP$13))))</f>
        <v>1000000000000</v>
      </c>
      <c r="BQ47" s="216">
        <f ca="1">IF($D47&lt;&gt;"Serviço",0,IF(AND(AUTOEVENTO="Manual",$M47=1),0,IF(OFFSET(CRONOPLE!$F$14,$M47,BQ$13)="",10^12,OFFSET(CRONOPLE!$F$14,$M47,BQ$13))))</f>
        <v>1000000000000</v>
      </c>
      <c r="BR47" s="216">
        <f ca="1">IF($D47&lt;&gt;"Serviço",0,IF(AND(AUTOEVENTO="Manual",$M47=1),0,IF(OFFSET(CRONOPLE!$F$14,$M47,BR$13)="",10^12,OFFSET(CRONOPLE!$F$14,$M47,BR$13))))</f>
        <v>1000000000000</v>
      </c>
      <c r="BS47" s="216">
        <f ca="1">IF($D47&lt;&gt;"Serviço",0,IF(AND(AUTOEVENTO="Manual",$M47=1),0,IF(OFFSET(CRONOPLE!$F$14,$M47,BS$13)="",10^12,OFFSET(CRONOPLE!$F$14,$M47,BS$13))))</f>
        <v>1000000000000</v>
      </c>
      <c r="BT47" s="216">
        <f ca="1">IF($D47&lt;&gt;"Serviço",0,IF(AND(AUTOEVENTO="Manual",$M47=1),0,IF(OFFSET(CRONOPLE!$F$14,$M47,BT$13)="",10^12,OFFSET(CRONOPLE!$F$14,$M47,BT$13))))</f>
        <v>1000000000000</v>
      </c>
      <c r="BV47" s="217">
        <f ca="1">IF($D47&lt;&gt;"Serviço",0,IF(OR(AND(AUTOEVENTO="Manual",$M47=1),$M47&gt;(ROW(PLE.lastrow)-ROW(PLE.firstrow))),0,IF(OFFSET(PLE!$G$14,$M47,BV$13)="",10^12,OFFSET(PLE!$G$14,$M47,BV$13))))</f>
        <v>1000000000000</v>
      </c>
      <c r="BW47" s="217">
        <f ca="1">IF($D47&lt;&gt;"Serviço",0,IF(OR(AND(AUTOEVENTO="Manual",$M47=1),$M47&gt;(ROW(PLE.lastrow)-ROW(PLE.firstrow))),0,IF(OFFSET(PLE!$G$14,$M47,BW$13)="",10^12,OFFSET(PLE!$G$14,$M47,BW$13))))</f>
        <v>1000000000000</v>
      </c>
      <c r="BX47" s="217">
        <f ca="1">IF($D47&lt;&gt;"Serviço",0,IF(OR(AND(AUTOEVENTO="Manual",$M47=1),$M47&gt;(ROW(PLE.lastrow)-ROW(PLE.firstrow))),0,IF(OFFSET(PLE!$G$14,$M47,BX$13)="",10^12,OFFSET(PLE!$G$14,$M47,BX$13))))</f>
        <v>1000000000000</v>
      </c>
      <c r="BY47" s="217">
        <f ca="1">IF($D47&lt;&gt;"Serviço",0,IF(OR(AND(AUTOEVENTO="Manual",$M47=1),$M47&gt;(ROW(PLE.lastrow)-ROW(PLE.firstrow))),0,IF(OFFSET(PLE!$G$14,$M47,BY$13)="",10^12,OFFSET(PLE!$G$14,$M47,BY$13))))</f>
        <v>1000000000000</v>
      </c>
      <c r="BZ47" s="217">
        <f ca="1">IF($D47&lt;&gt;"Serviço",0,IF(OR(AND(AUTOEVENTO="Manual",$M47=1),$M47&gt;(ROW(PLE.lastrow)-ROW(PLE.firstrow))),0,IF(OFFSET(PLE!$G$14,$M47,BZ$13)="",10^12,OFFSET(PLE!$G$14,$M47,BZ$13))))</f>
        <v>1000000000000</v>
      </c>
      <c r="CA47" s="217">
        <f ca="1">IF($D47&lt;&gt;"Serviço",0,IF(OR(AND(AUTOEVENTO="Manual",$M47=1),$M47&gt;(ROW(PLE.lastrow)-ROW(PLE.firstrow))),0,IF(OFFSET(PLE!$G$14,$M47,CA$13)="",10^12,OFFSET(PLE!$G$14,$M47,CA$13))))</f>
        <v>1000000000000</v>
      </c>
      <c r="CB47" s="217">
        <f ca="1">IF($D47&lt;&gt;"Serviço",0,IF(OR(AND(AUTOEVENTO="Manual",$M47=1),$M47&gt;(ROW(PLE.lastrow)-ROW(PLE.firstrow))),0,IF(OFFSET(PLE!$G$14,$M47,CB$13)="",10^12,OFFSET(PLE!$G$14,$M47,CB$13))))</f>
        <v>1000000000000</v>
      </c>
      <c r="CC47" s="217">
        <f ca="1">IF($D47&lt;&gt;"Serviço",0,IF(OR(AND(AUTOEVENTO="Manual",$M47=1),$M47&gt;(ROW(PLE.lastrow)-ROW(PLE.firstrow))),0,IF(OFFSET(PLE!$G$14,$M47,CC$13)="",10^12,OFFSET(PLE!$G$14,$M47,CC$13))))</f>
        <v>1000000000000</v>
      </c>
      <c r="CD47" s="217">
        <f ca="1">IF($D47&lt;&gt;"Serviço",0,IF(OR(AND(AUTOEVENTO="Manual",$M47=1),$M47&gt;(ROW(PLE.lastrow)-ROW(PLE.firstrow))),0,IF(OFFSET(PLE!$G$14,$M47,CD$13)="",10^12,OFFSET(PLE!$G$14,$M47,CD$13))))</f>
        <v>1000000000000</v>
      </c>
      <c r="CE47" s="217">
        <f ca="1">IF($D47&lt;&gt;"Serviço",0,IF(OR(AND(AUTOEVENTO="Manual",$M47=1),$M47&gt;(ROW(PLE.lastrow)-ROW(PLE.firstrow))),0,IF(OFFSET(PLE!$G$14,$M47,CE$13)="",10^12,OFFSET(PLE!$G$14,$M47,CE$13))))</f>
        <v>1000000000000</v>
      </c>
      <c r="CF47" s="217">
        <f ca="1">IF($D47&lt;&gt;"Serviço",0,IF(OR(AND(AUTOEVENTO="Manual",$M47=1),$M47&gt;(ROW(PLE.lastrow)-ROW(PLE.firstrow))),0,IF(OFFSET(PLE!$G$14,$M47,CF$13)="",10^12,OFFSET(PLE!$G$14,$M47,CF$13))))</f>
        <v>1000000000000</v>
      </c>
      <c r="CG47" s="217">
        <f ca="1">IF($D47&lt;&gt;"Serviço",0,IF(OR(AND(AUTOEVENTO="Manual",$M47=1),$M47&gt;(ROW(PLE.lastrow)-ROW(PLE.firstrow))),0,IF(OFFSET(PLE!$G$14,$M47,CG$13)="",10^12,OFFSET(PLE!$G$14,$M47,CG$13))))</f>
        <v>1000000000000</v>
      </c>
      <c r="CH47" s="217">
        <f ca="1">IF($D47&lt;&gt;"Serviço",0,IF(OR(AND(AUTOEVENTO="Manual",$M47=1),$M47&gt;(ROW(PLE.lastrow)-ROW(PLE.firstrow))),0,IF(OFFSET(PLE!$G$14,$M47,CH$13)="",10^12,OFFSET(PLE!$G$14,$M47,CH$13))))</f>
        <v>1000000000000</v>
      </c>
      <c r="CI47" s="217">
        <f ca="1">IF($D47&lt;&gt;"Serviço",0,IF(OR(AND(AUTOEVENTO="Manual",$M47=1),$M47&gt;(ROW(PLE.lastrow)-ROW(PLE.firstrow))),0,IF(OFFSET(PLE!$G$14,$M47,CI$13)="",10^12,OFFSET(PLE!$G$14,$M47,CI$13))))</f>
        <v>1000000000000</v>
      </c>
      <c r="CJ47" s="217">
        <f ca="1">IF($D47&lt;&gt;"Serviço",0,IF(OR(AND(AUTOEVENTO="Manual",$M47=1),$M47&gt;(ROW(PLE.lastrow)-ROW(PLE.firstrow))),0,IF(OFFSET(PLE!$G$14,$M47,CJ$13)="",10^12,OFFSET(PLE!$G$14,$M47,CJ$13))))</f>
        <v>1000000000000</v>
      </c>
      <c r="CK47" s="217">
        <f ca="1">IF($D47&lt;&gt;"Serviço",0,IF(OR(AND(AUTOEVENTO="Manual",$M47=1),$M47&gt;(ROW(PLE.lastrow)-ROW(PLE.firstrow))),0,IF(OFFSET(PLE!$G$14,$M47,CK$13)="",10^12,OFFSET(PLE!$G$14,$M47,CK$13))))</f>
        <v>1000000000000</v>
      </c>
      <c r="CL47" s="217">
        <f ca="1">IF($D47&lt;&gt;"Serviço",0,IF(OR(AND(AUTOEVENTO="Manual",$M47=1),$M47&gt;(ROW(PLE.lastrow)-ROW(PLE.firstrow))),0,IF(OFFSET(PLE!$G$14,$M47,CL$13)="",10^12,OFFSET(PLE!$G$14,$M47,CL$13))))</f>
        <v>1000000000000</v>
      </c>
      <c r="CM47" s="217">
        <f ca="1">IF($D47&lt;&gt;"Serviço",0,IF(OR(AND(AUTOEVENTO="Manual",$M47=1),$M47&gt;(ROW(PLE.lastrow)-ROW(PLE.firstrow))),0,IF(OFFSET(PLE!$G$14,$M47,CM$13)="",10^12,OFFSET(PLE!$G$14,$M47,CM$13))))</f>
        <v>1000000000000</v>
      </c>
    </row>
    <row r="48" spans="1:91" ht="25.5" x14ac:dyDescent="0.2">
      <c r="A48" s="9" t="str">
        <f t="shared" ca="1" si="9"/>
        <v>27</v>
      </c>
      <c r="B48" s="9" t="str">
        <f ca="1">OFFSET(ORÇAMENTO!C$15,ROW(B48)-ROW(B$15),0)</f>
        <v>S</v>
      </c>
      <c r="C48" s="9" t="str">
        <f ca="1">OFFSET(ORÇAMENTO!L$15,ROW(C48)-ROW(C$15),0)</f>
        <v/>
      </c>
      <c r="D48" s="146" t="str">
        <f ca="1">OFFSET(ORÇAMENTO!N$15,ROW(D48)-ROW(D$15),0)</f>
        <v>Serviço</v>
      </c>
      <c r="E48" s="206" t="str">
        <f ca="1">OFFSET(ORÇAMENTO!O$15,ROW(E48)-ROW(E$15),0)</f>
        <v>-</v>
      </c>
      <c r="F48" s="207" t="str">
        <f ca="1">OFFSET(ORÇAMENTO!R$15,ROW(F48)-ROW(F$15),0)</f>
        <v>(abra o arquivo 'Referência 12-2023.xlsm)</v>
      </c>
      <c r="G48" s="208" t="str">
        <f ca="1">IF($D48&lt;&gt;"Serviço","",OFFSET(ORÇAMENTO!S$15,ROW(G48)-ROW(G$15),0))</f>
        <v>-</v>
      </c>
      <c r="H48" s="152">
        <f ca="1">IF($D48&lt;&gt;"Serviço",0,IF(ACOMPANHAMENTO="BM",ROUND(OFFSET(ORÇAMENTO!AJ$15,ROW(H48)-ROW(H$15),0),15-13*ORÇAMENTO!$AF$7),SUMPRODUCT(($Q$12:$AI$12&lt;&gt;"")*ROUND($Q48:$AI48,15-13*ORÇAMENTO!$AF$7))))</f>
        <v>5.5200000000000014</v>
      </c>
      <c r="I48" s="649" t="s">
        <v>504</v>
      </c>
      <c r="K48" s="209"/>
      <c r="L48" s="210" t="s">
        <v>255</v>
      </c>
      <c r="M48" s="211">
        <f ca="1">IF($D48&lt;&gt;"Serviço","",IF(AUTOEVENTO="manual",$A48,IF(ISERROR(MATCH($A48,$A$15:OFFSET($A48,-1,0),0)),MAX($M$15:OFFSET(M48,-1,0))+1,INDEX($M$15:OFFSET(M48,-1,0),MATCH($A48,$A$15:OFFSET($A48,-1,0),0)))))</f>
        <v>8</v>
      </c>
      <c r="N48" s="212" t="str">
        <f ca="1">IF($D48&lt;&gt;"Serviço","",IF(AUTOEVENTO="Manual",IF($A48=0,"&lt;-- defina o número do agrupador",OFFSET(EVENTOS!$D$14,$A48,0)),OFFSET($F$15,$A48,0)))</f>
        <v>PASSEIO E SINALIZAÇÃO</v>
      </c>
      <c r="O48" s="213"/>
      <c r="Q48" s="213">
        <v>0.48</v>
      </c>
      <c r="R48" s="213">
        <v>0.48</v>
      </c>
      <c r="S48" s="213">
        <v>0.48</v>
      </c>
      <c r="T48" s="213">
        <v>0.48</v>
      </c>
      <c r="U48" s="213">
        <v>0.48</v>
      </c>
      <c r="V48" s="213">
        <v>0.48</v>
      </c>
      <c r="W48" s="213">
        <v>0.48</v>
      </c>
      <c r="X48" s="213">
        <v>0.48</v>
      </c>
      <c r="Y48" s="213">
        <v>0.48</v>
      </c>
      <c r="Z48" s="213">
        <v>0.48</v>
      </c>
      <c r="AA48" s="213">
        <v>0.48</v>
      </c>
      <c r="AB48" s="213">
        <v>0.24</v>
      </c>
      <c r="AC48" s="213"/>
      <c r="AD48" s="213"/>
      <c r="AE48" s="214"/>
      <c r="AF48" s="214"/>
      <c r="AG48" s="214"/>
      <c r="AH48" s="215"/>
      <c r="AJ48" s="630">
        <f ca="1">IF(AND($D48="Serviço",AJ$12&lt;&gt;0,$H48&gt;0,OR(AUTOEVENTO&lt;&gt;"manual",$M48&lt;&gt;1)),
IF(Import.TipoArredondamento&lt;&gt;"TransfereGOV",
ROUND(OFFSET($P48,0,AJ$13),15-13*ORÇAMENTO!$AF$7)/$H48*OFFSET(ORÇAMENTO!$X$15,ROW(AJ48)-ROW(AJ$15),0),
ROUND(ROUND(OFFSET($P48,0,AJ$13),15-13*ORÇAMENTO!$AF$7)*OFFSET(ORÇAMENTO!$W$15,ROW(AJ48)-ROW(AJ$15),0),15-13*ORÇAMENTO!$AF$11)),0)</f>
        <v>0</v>
      </c>
      <c r="AK48" s="631">
        <f ca="1">IF(AND($D48="Serviço",AK$12&lt;&gt;0,$H48&gt;0,OR(AUTOEVENTO&lt;&gt;"manual",$M48&lt;&gt;1)),
IF(Import.TipoArredondamento&lt;&gt;"TransfereGOV",
ROUND(OFFSET($P48,0,AK$13),15-13*ORÇAMENTO!$AF$7)/$H48*OFFSET(ORÇAMENTO!$X$15,ROW(AK48)-ROW(AK$15),0),
ROUND(ROUND(OFFSET($P48,0,AK$13),15-13*ORÇAMENTO!$AF$7)*OFFSET(ORÇAMENTO!$W$15,ROW(AK48)-ROW(AK$15),0),15-13*ORÇAMENTO!$AF$11)),0)</f>
        <v>0</v>
      </c>
      <c r="AL48" s="631">
        <f ca="1">IF(AND($D48="Serviço",AL$12&lt;&gt;0,$H48&gt;0,OR(AUTOEVENTO&lt;&gt;"manual",$M48&lt;&gt;1)),
IF(Import.TipoArredondamento&lt;&gt;"TransfereGOV",
ROUND(OFFSET($P48,0,AL$13),15-13*ORÇAMENTO!$AF$7)/$H48*OFFSET(ORÇAMENTO!$X$15,ROW(AL48)-ROW(AL$15),0),
ROUND(ROUND(OFFSET($P48,0,AL$13),15-13*ORÇAMENTO!$AF$7)*OFFSET(ORÇAMENTO!$W$15,ROW(AL48)-ROW(AL$15),0),15-13*ORÇAMENTO!$AF$11)),0)</f>
        <v>0</v>
      </c>
      <c r="AM48" s="631">
        <f ca="1">IF(AND($D48="Serviço",AM$12&lt;&gt;0,$H48&gt;0,OR(AUTOEVENTO&lt;&gt;"manual",$M48&lt;&gt;1)),
IF(Import.TipoArredondamento&lt;&gt;"TransfereGOV",
ROUND(OFFSET($P48,0,AM$13),15-13*ORÇAMENTO!$AF$7)/$H48*OFFSET(ORÇAMENTO!$X$15,ROW(AM48)-ROW(AM$15),0),
ROUND(ROUND(OFFSET($P48,0,AM$13),15-13*ORÇAMENTO!$AF$7)*OFFSET(ORÇAMENTO!$W$15,ROW(AM48)-ROW(AM$15),0),15-13*ORÇAMENTO!$AF$11)),0)</f>
        <v>0</v>
      </c>
      <c r="AN48" s="631">
        <f ca="1">IF(AND($D48="Serviço",AN$12&lt;&gt;0,$H48&gt;0,OR(AUTOEVENTO&lt;&gt;"manual",$M48&lt;&gt;1)),
IF(Import.TipoArredondamento&lt;&gt;"TransfereGOV",
ROUND(OFFSET($P48,0,AN$13),15-13*ORÇAMENTO!$AF$7)/$H48*OFFSET(ORÇAMENTO!$X$15,ROW(AN48)-ROW(AN$15),0),
ROUND(ROUND(OFFSET($P48,0,AN$13),15-13*ORÇAMENTO!$AF$7)*OFFSET(ORÇAMENTO!$W$15,ROW(AN48)-ROW(AN$15),0),15-13*ORÇAMENTO!$AF$11)),0)</f>
        <v>0</v>
      </c>
      <c r="AO48" s="631">
        <f ca="1">IF(AND($D48="Serviço",AO$12&lt;&gt;0,$H48&gt;0,OR(AUTOEVENTO&lt;&gt;"manual",$M48&lt;&gt;1)),
IF(Import.TipoArredondamento&lt;&gt;"TransfereGOV",
ROUND(OFFSET($P48,0,AO$13),15-13*ORÇAMENTO!$AF$7)/$H48*OFFSET(ORÇAMENTO!$X$15,ROW(AO48)-ROW(AO$15),0),
ROUND(ROUND(OFFSET($P48,0,AO$13),15-13*ORÇAMENTO!$AF$7)*OFFSET(ORÇAMENTO!$W$15,ROW(AO48)-ROW(AO$15),0),15-13*ORÇAMENTO!$AF$11)),0)</f>
        <v>0</v>
      </c>
      <c r="AP48" s="631">
        <f ca="1">IF(AND($D48="Serviço",AP$12&lt;&gt;0,$H48&gt;0,OR(AUTOEVENTO&lt;&gt;"manual",$M48&lt;&gt;1)),
IF(Import.TipoArredondamento&lt;&gt;"TransfereGOV",
ROUND(OFFSET($P48,0,AP$13),15-13*ORÇAMENTO!$AF$7)/$H48*OFFSET(ORÇAMENTO!$X$15,ROW(AP48)-ROW(AP$15),0),
ROUND(ROUND(OFFSET($P48,0,AP$13),15-13*ORÇAMENTO!$AF$7)*OFFSET(ORÇAMENTO!$W$15,ROW(AP48)-ROW(AP$15),0),15-13*ORÇAMENTO!$AF$11)),0)</f>
        <v>0</v>
      </c>
      <c r="AQ48" s="631">
        <f ca="1">IF(AND($D48="Serviço",AQ$12&lt;&gt;0,$H48&gt;0,OR(AUTOEVENTO&lt;&gt;"manual",$M48&lt;&gt;1)),
IF(Import.TipoArredondamento&lt;&gt;"TransfereGOV",
ROUND(OFFSET($P48,0,AQ$13),15-13*ORÇAMENTO!$AF$7)/$H48*OFFSET(ORÇAMENTO!$X$15,ROW(AQ48)-ROW(AQ$15),0),
ROUND(ROUND(OFFSET($P48,0,AQ$13),15-13*ORÇAMENTO!$AF$7)*OFFSET(ORÇAMENTO!$W$15,ROW(AQ48)-ROW(AQ$15),0),15-13*ORÇAMENTO!$AF$11)),0)</f>
        <v>0</v>
      </c>
      <c r="AR48" s="631">
        <f ca="1">IF(AND($D48="Serviço",AR$12&lt;&gt;0,$H48&gt;0,OR(AUTOEVENTO&lt;&gt;"manual",$M48&lt;&gt;1)),
IF(Import.TipoArredondamento&lt;&gt;"TransfereGOV",
ROUND(OFFSET($P48,0,AR$13),15-13*ORÇAMENTO!$AF$7)/$H48*OFFSET(ORÇAMENTO!$X$15,ROW(AR48)-ROW(AR$15),0),
ROUND(ROUND(OFFSET($P48,0,AR$13),15-13*ORÇAMENTO!$AF$7)*OFFSET(ORÇAMENTO!$W$15,ROW(AR48)-ROW(AR$15),0),15-13*ORÇAMENTO!$AF$11)),0)</f>
        <v>0</v>
      </c>
      <c r="AS48" s="632">
        <f ca="1">IF(AND($D48="Serviço",AS$12&lt;&gt;0,$H48&gt;0,OR(AUTOEVENTO&lt;&gt;"manual",$M48&lt;&gt;1)),
IF(Import.TipoArredondamento&lt;&gt;"TransfereGOV",
ROUND(OFFSET($P48,0,AS$13),15-13*ORÇAMENTO!$AF$7)/$H48*OFFSET(ORÇAMENTO!$X$15,ROW(AS48)-ROW(AS$15),0),
ROUND(ROUND(OFFSET($P48,0,AS$13),15-13*ORÇAMENTO!$AF$7)*OFFSET(ORÇAMENTO!$W$15,ROW(AS48)-ROW(AS$15),0),15-13*ORÇAMENTO!$AF$11)),0)</f>
        <v>0</v>
      </c>
      <c r="AT48" s="631">
        <f ca="1">IF(AND($D48="Serviço",AT$12&lt;&gt;0,$H48&gt;0,OR(AUTOEVENTO&lt;&gt;"manual",$M48&lt;&gt;1)),
IF(Import.TipoArredondamento&lt;&gt;"TransfereGOV",
ROUND(OFFSET($P48,0,AT$13),15-13*ORÇAMENTO!$AF$7)/$H48*OFFSET(ORÇAMENTO!$X$15,ROW(AT48)-ROW(AT$15),0),
ROUND(ROUND(OFFSET($P48,0,AT$13),15-13*ORÇAMENTO!$AF$7)*OFFSET(ORÇAMENTO!$W$15,ROW(AT48)-ROW(AT$15),0),15-13*ORÇAMENTO!$AF$11)),0)</f>
        <v>0</v>
      </c>
      <c r="AU48" s="631">
        <f ca="1">IF(AND($D48="Serviço",AU$12&lt;&gt;0,$H48&gt;0,OR(AUTOEVENTO&lt;&gt;"manual",$M48&lt;&gt;1)),
IF(Import.TipoArredondamento&lt;&gt;"TransfereGOV",
ROUND(OFFSET($P48,0,AU$13),15-13*ORÇAMENTO!$AF$7)/$H48*OFFSET(ORÇAMENTO!$X$15,ROW(AU48)-ROW(AU$15),0),
ROUND(ROUND(OFFSET($P48,0,AU$13),15-13*ORÇAMENTO!$AF$7)*OFFSET(ORÇAMENTO!$W$15,ROW(AU48)-ROW(AU$15),0),15-13*ORÇAMENTO!$AF$11)),0)</f>
        <v>0</v>
      </c>
      <c r="AV48" s="631">
        <f ca="1">IF(AND($D48="Serviço",AV$12&lt;&gt;0,$H48&gt;0,OR(AUTOEVENTO&lt;&gt;"manual",$M48&lt;&gt;1)),
IF(Import.TipoArredondamento&lt;&gt;"TransfereGOV",
ROUND(OFFSET($P48,0,AV$13),15-13*ORÇAMENTO!$AF$7)/$H48*OFFSET(ORÇAMENTO!$X$15,ROW(AV48)-ROW(AV$15),0),
ROUND(ROUND(OFFSET($P48,0,AV$13),15-13*ORÇAMENTO!$AF$7)*OFFSET(ORÇAMENTO!$W$15,ROW(AV48)-ROW(AV$15),0),15-13*ORÇAMENTO!$AF$11)),0)</f>
        <v>0</v>
      </c>
      <c r="AW48" s="631">
        <f ca="1">IF(AND($D48="Serviço",AW$12&lt;&gt;0,$H48&gt;0,OR(AUTOEVENTO&lt;&gt;"manual",$M48&lt;&gt;1)),
IF(Import.TipoArredondamento&lt;&gt;"TransfereGOV",
ROUND(OFFSET($P48,0,AW$13),15-13*ORÇAMENTO!$AF$7)/$H48*OFFSET(ORÇAMENTO!$X$15,ROW(AW48)-ROW(AW$15),0),
ROUND(ROUND(OFFSET($P48,0,AW$13),15-13*ORÇAMENTO!$AF$7)*OFFSET(ORÇAMENTO!$W$15,ROW(AW48)-ROW(AW$15),0),15-13*ORÇAMENTO!$AF$11)),0)</f>
        <v>0</v>
      </c>
      <c r="AX48" s="631">
        <f ca="1">IF(AND($D48="Serviço",AX$12&lt;&gt;0,$H48&gt;0,OR(AUTOEVENTO&lt;&gt;"manual",$M48&lt;&gt;1)),
IF(Import.TipoArredondamento&lt;&gt;"TransfereGOV",
ROUND(OFFSET($P48,0,AX$13),15-13*ORÇAMENTO!$AF$7)/$H48*OFFSET(ORÇAMENTO!$X$15,ROW(AX48)-ROW(AX$15),0),
ROUND(ROUND(OFFSET($P48,0,AX$13),15-13*ORÇAMENTO!$AF$7)*OFFSET(ORÇAMENTO!$W$15,ROW(AX48)-ROW(AX$15),0),15-13*ORÇAMENTO!$AF$11)),0)</f>
        <v>0</v>
      </c>
      <c r="AY48" s="631">
        <f ca="1">IF(AND($D48="Serviço",AY$12&lt;&gt;0,$H48&gt;0,OR(AUTOEVENTO&lt;&gt;"manual",$M48&lt;&gt;1)),
IF(Import.TipoArredondamento&lt;&gt;"TransfereGOV",
ROUND(OFFSET($P48,0,AY$13),15-13*ORÇAMENTO!$AF$7)/$H48*OFFSET(ORÇAMENTO!$X$15,ROW(AY48)-ROW(AY$15),0),
ROUND(ROUND(OFFSET($P48,0,AY$13),15-13*ORÇAMENTO!$AF$7)*OFFSET(ORÇAMENTO!$W$15,ROW(AY48)-ROW(AY$15),0),15-13*ORÇAMENTO!$AF$11)),0)</f>
        <v>0</v>
      </c>
      <c r="AZ48" s="631">
        <f ca="1">IF(AND($D48="Serviço",AZ$12&lt;&gt;0,$H48&gt;0,OR(AUTOEVENTO&lt;&gt;"manual",$M48&lt;&gt;1)),
IF(Import.TipoArredondamento&lt;&gt;"TransfereGOV",
ROUND(OFFSET($P48,0,AZ$13),15-13*ORÇAMENTO!$AF$7)/$H48*OFFSET(ORÇAMENTO!$X$15,ROW(AZ48)-ROW(AZ$15),0),
ROUND(ROUND(OFFSET($P48,0,AZ$13),15-13*ORÇAMENTO!$AF$7)*OFFSET(ORÇAMENTO!$W$15,ROW(AZ48)-ROW(AZ$15),0),15-13*ORÇAMENTO!$AF$11)),0)</f>
        <v>0</v>
      </c>
      <c r="BA48" s="632">
        <f ca="1">IF(AND($D48="Serviço",BA$12&lt;&gt;0,$H48&gt;0,OR(AUTOEVENTO&lt;&gt;"manual",$M48&lt;&gt;1)),
IF(Import.TipoArredondamento&lt;&gt;"TransfereGOV",
ROUND(OFFSET($P48,0,BA$13),15-13*ORÇAMENTO!$AF$7)/$H48*OFFSET(ORÇAMENTO!$X$15,ROW(BA48)-ROW(BA$15),0),
ROUND(ROUND(OFFSET($P48,0,BA$13),15-13*ORÇAMENTO!$AF$7)*OFFSET(ORÇAMENTO!$W$15,ROW(BA48)-ROW(BA$15),0),15-13*ORÇAMENTO!$AF$11)),0)</f>
        <v>0</v>
      </c>
      <c r="BC48" s="216">
        <f ca="1">IF($D48&lt;&gt;"Serviço",0,IF(AND(AUTOEVENTO="Manual",$M48=1),0,IF(OFFSET(CRONOPLE!$F$14,$M48,BC$13)="",10^12,OFFSET(CRONOPLE!$F$14,$M48,BC$13))))</f>
        <v>7</v>
      </c>
      <c r="BD48" s="216">
        <f ca="1">IF($D48&lt;&gt;"Serviço",0,IF(AND(AUTOEVENTO="Manual",$M48=1),0,IF(OFFSET(CRONOPLE!$F$14,$M48,BD$13)="",10^12,OFFSET(CRONOPLE!$F$14,$M48,BD$13))))</f>
        <v>7</v>
      </c>
      <c r="BE48" s="216">
        <f ca="1">IF($D48&lt;&gt;"Serviço",0,IF(AND(AUTOEVENTO="Manual",$M48=1),0,IF(OFFSET(CRONOPLE!$F$14,$M48,BE$13)="",10^12,OFFSET(CRONOPLE!$F$14,$M48,BE$13))))</f>
        <v>7</v>
      </c>
      <c r="BF48" s="216">
        <f ca="1">IF($D48&lt;&gt;"Serviço",0,IF(AND(AUTOEVENTO="Manual",$M48=1),0,IF(OFFSET(CRONOPLE!$F$14,$M48,BF$13)="",10^12,OFFSET(CRONOPLE!$F$14,$M48,BF$13))))</f>
        <v>7</v>
      </c>
      <c r="BG48" s="216">
        <f ca="1">IF($D48&lt;&gt;"Serviço",0,IF(AND(AUTOEVENTO="Manual",$M48=1),0,IF(OFFSET(CRONOPLE!$F$14,$M48,BG$13)="",10^12,OFFSET(CRONOPLE!$F$14,$M48,BG$13))))</f>
        <v>7</v>
      </c>
      <c r="BH48" s="216">
        <f ca="1">IF($D48&lt;&gt;"Serviço",0,IF(AND(AUTOEVENTO="Manual",$M48=1),0,IF(OFFSET(CRONOPLE!$F$14,$M48,BH$13)="",10^12,OFFSET(CRONOPLE!$F$14,$M48,BH$13))))</f>
        <v>7</v>
      </c>
      <c r="BI48" s="216">
        <f ca="1">IF($D48&lt;&gt;"Serviço",0,IF(AND(AUTOEVENTO="Manual",$M48=1),0,IF(OFFSET(CRONOPLE!$F$14,$M48,BI$13)="",10^12,OFFSET(CRONOPLE!$F$14,$M48,BI$13))))</f>
        <v>7</v>
      </c>
      <c r="BJ48" s="216">
        <f ca="1">IF($D48&lt;&gt;"Serviço",0,IF(AND(AUTOEVENTO="Manual",$M48=1),0,IF(OFFSET(CRONOPLE!$F$14,$M48,BJ$13)="",10^12,OFFSET(CRONOPLE!$F$14,$M48,BJ$13))))</f>
        <v>7</v>
      </c>
      <c r="BK48" s="216">
        <f ca="1">IF($D48&lt;&gt;"Serviço",0,IF(AND(AUTOEVENTO="Manual",$M48=1),0,IF(OFFSET(CRONOPLE!$F$14,$M48,BK$13)="",10^12,OFFSET(CRONOPLE!$F$14,$M48,BK$13))))</f>
        <v>7</v>
      </c>
      <c r="BL48" s="216">
        <f ca="1">IF($D48&lt;&gt;"Serviço",0,IF(AND(AUTOEVENTO="Manual",$M48=1),0,IF(OFFSET(CRONOPLE!$F$14,$M48,BL$13)="",10^12,OFFSET(CRONOPLE!$F$14,$M48,BL$13))))</f>
        <v>7</v>
      </c>
      <c r="BM48" s="216">
        <f ca="1">IF($D48&lt;&gt;"Serviço",0,IF(AND(AUTOEVENTO="Manual",$M48=1),0,IF(OFFSET(CRONOPLE!$F$14,$M48,BM$13)="",10^12,OFFSET(CRONOPLE!$F$14,$M48,BM$13))))</f>
        <v>7</v>
      </c>
      <c r="BN48" s="216">
        <f ca="1">IF($D48&lt;&gt;"Serviço",0,IF(AND(AUTOEVENTO="Manual",$M48=1),0,IF(OFFSET(CRONOPLE!$F$14,$M48,BN$13)="",10^12,OFFSET(CRONOPLE!$F$14,$M48,BN$13))))</f>
        <v>7</v>
      </c>
      <c r="BO48" s="216">
        <f ca="1">IF($D48&lt;&gt;"Serviço",0,IF(AND(AUTOEVENTO="Manual",$M48=1),0,IF(OFFSET(CRONOPLE!$F$14,$M48,BO$13)="",10^12,OFFSET(CRONOPLE!$F$14,$M48,BO$13))))</f>
        <v>7</v>
      </c>
      <c r="BP48" s="216">
        <f ca="1">IF($D48&lt;&gt;"Serviço",0,IF(AND(AUTOEVENTO="Manual",$M48=1),0,IF(OFFSET(CRONOPLE!$F$14,$M48,BP$13)="",10^12,OFFSET(CRONOPLE!$F$14,$M48,BP$13))))</f>
        <v>1000000000000</v>
      </c>
      <c r="BQ48" s="216">
        <f ca="1">IF($D48&lt;&gt;"Serviço",0,IF(AND(AUTOEVENTO="Manual",$M48=1),0,IF(OFFSET(CRONOPLE!$F$14,$M48,BQ$13)="",10^12,OFFSET(CRONOPLE!$F$14,$M48,BQ$13))))</f>
        <v>1000000000000</v>
      </c>
      <c r="BR48" s="216">
        <f ca="1">IF($D48&lt;&gt;"Serviço",0,IF(AND(AUTOEVENTO="Manual",$M48=1),0,IF(OFFSET(CRONOPLE!$F$14,$M48,BR$13)="",10^12,OFFSET(CRONOPLE!$F$14,$M48,BR$13))))</f>
        <v>1000000000000</v>
      </c>
      <c r="BS48" s="216">
        <f ca="1">IF($D48&lt;&gt;"Serviço",0,IF(AND(AUTOEVENTO="Manual",$M48=1),0,IF(OFFSET(CRONOPLE!$F$14,$M48,BS$13)="",10^12,OFFSET(CRONOPLE!$F$14,$M48,BS$13))))</f>
        <v>1000000000000</v>
      </c>
      <c r="BT48" s="216">
        <f ca="1">IF($D48&lt;&gt;"Serviço",0,IF(AND(AUTOEVENTO="Manual",$M48=1),0,IF(OFFSET(CRONOPLE!$F$14,$M48,BT$13)="",10^12,OFFSET(CRONOPLE!$F$14,$M48,BT$13))))</f>
        <v>1000000000000</v>
      </c>
      <c r="BV48" s="217">
        <f ca="1">IF($D48&lt;&gt;"Serviço",0,IF(OR(AND(AUTOEVENTO="Manual",$M48=1),$M48&gt;(ROW(PLE.lastrow)-ROW(PLE.firstrow))),0,IF(OFFSET(PLE!$G$14,$M48,BV$13)="",10^12,OFFSET(PLE!$G$14,$M48,BV$13))))</f>
        <v>1000000000000</v>
      </c>
      <c r="BW48" s="217">
        <f ca="1">IF($D48&lt;&gt;"Serviço",0,IF(OR(AND(AUTOEVENTO="Manual",$M48=1),$M48&gt;(ROW(PLE.lastrow)-ROW(PLE.firstrow))),0,IF(OFFSET(PLE!$G$14,$M48,BW$13)="",10^12,OFFSET(PLE!$G$14,$M48,BW$13))))</f>
        <v>1000000000000</v>
      </c>
      <c r="BX48" s="217">
        <f ca="1">IF($D48&lt;&gt;"Serviço",0,IF(OR(AND(AUTOEVENTO="Manual",$M48=1),$M48&gt;(ROW(PLE.lastrow)-ROW(PLE.firstrow))),0,IF(OFFSET(PLE!$G$14,$M48,BX$13)="",10^12,OFFSET(PLE!$G$14,$M48,BX$13))))</f>
        <v>1000000000000</v>
      </c>
      <c r="BY48" s="217">
        <f ca="1">IF($D48&lt;&gt;"Serviço",0,IF(OR(AND(AUTOEVENTO="Manual",$M48=1),$M48&gt;(ROW(PLE.lastrow)-ROW(PLE.firstrow))),0,IF(OFFSET(PLE!$G$14,$M48,BY$13)="",10^12,OFFSET(PLE!$G$14,$M48,BY$13))))</f>
        <v>1000000000000</v>
      </c>
      <c r="BZ48" s="217">
        <f ca="1">IF($D48&lt;&gt;"Serviço",0,IF(OR(AND(AUTOEVENTO="Manual",$M48=1),$M48&gt;(ROW(PLE.lastrow)-ROW(PLE.firstrow))),0,IF(OFFSET(PLE!$G$14,$M48,BZ$13)="",10^12,OFFSET(PLE!$G$14,$M48,BZ$13))))</f>
        <v>1000000000000</v>
      </c>
      <c r="CA48" s="217">
        <f ca="1">IF($D48&lt;&gt;"Serviço",0,IF(OR(AND(AUTOEVENTO="Manual",$M48=1),$M48&gt;(ROW(PLE.lastrow)-ROW(PLE.firstrow))),0,IF(OFFSET(PLE!$G$14,$M48,CA$13)="",10^12,OFFSET(PLE!$G$14,$M48,CA$13))))</f>
        <v>1000000000000</v>
      </c>
      <c r="CB48" s="217">
        <f ca="1">IF($D48&lt;&gt;"Serviço",0,IF(OR(AND(AUTOEVENTO="Manual",$M48=1),$M48&gt;(ROW(PLE.lastrow)-ROW(PLE.firstrow))),0,IF(OFFSET(PLE!$G$14,$M48,CB$13)="",10^12,OFFSET(PLE!$G$14,$M48,CB$13))))</f>
        <v>1000000000000</v>
      </c>
      <c r="CC48" s="217">
        <f ca="1">IF($D48&lt;&gt;"Serviço",0,IF(OR(AND(AUTOEVENTO="Manual",$M48=1),$M48&gt;(ROW(PLE.lastrow)-ROW(PLE.firstrow))),0,IF(OFFSET(PLE!$G$14,$M48,CC$13)="",10^12,OFFSET(PLE!$G$14,$M48,CC$13))))</f>
        <v>1000000000000</v>
      </c>
      <c r="CD48" s="217">
        <f ca="1">IF($D48&lt;&gt;"Serviço",0,IF(OR(AND(AUTOEVENTO="Manual",$M48=1),$M48&gt;(ROW(PLE.lastrow)-ROW(PLE.firstrow))),0,IF(OFFSET(PLE!$G$14,$M48,CD$13)="",10^12,OFFSET(PLE!$G$14,$M48,CD$13))))</f>
        <v>1000000000000</v>
      </c>
      <c r="CE48" s="217">
        <f ca="1">IF($D48&lt;&gt;"Serviço",0,IF(OR(AND(AUTOEVENTO="Manual",$M48=1),$M48&gt;(ROW(PLE.lastrow)-ROW(PLE.firstrow))),0,IF(OFFSET(PLE!$G$14,$M48,CE$13)="",10^12,OFFSET(PLE!$G$14,$M48,CE$13))))</f>
        <v>1000000000000</v>
      </c>
      <c r="CF48" s="217">
        <f ca="1">IF($D48&lt;&gt;"Serviço",0,IF(OR(AND(AUTOEVENTO="Manual",$M48=1),$M48&gt;(ROW(PLE.lastrow)-ROW(PLE.firstrow))),0,IF(OFFSET(PLE!$G$14,$M48,CF$13)="",10^12,OFFSET(PLE!$G$14,$M48,CF$13))))</f>
        <v>1000000000000</v>
      </c>
      <c r="CG48" s="217">
        <f ca="1">IF($D48&lt;&gt;"Serviço",0,IF(OR(AND(AUTOEVENTO="Manual",$M48=1),$M48&gt;(ROW(PLE.lastrow)-ROW(PLE.firstrow))),0,IF(OFFSET(PLE!$G$14,$M48,CG$13)="",10^12,OFFSET(PLE!$G$14,$M48,CG$13))))</f>
        <v>1000000000000</v>
      </c>
      <c r="CH48" s="217">
        <f ca="1">IF($D48&lt;&gt;"Serviço",0,IF(OR(AND(AUTOEVENTO="Manual",$M48=1),$M48&gt;(ROW(PLE.lastrow)-ROW(PLE.firstrow))),0,IF(OFFSET(PLE!$G$14,$M48,CH$13)="",10^12,OFFSET(PLE!$G$14,$M48,CH$13))))</f>
        <v>1000000000000</v>
      </c>
      <c r="CI48" s="217">
        <f ca="1">IF($D48&lt;&gt;"Serviço",0,IF(OR(AND(AUTOEVENTO="Manual",$M48=1),$M48&gt;(ROW(PLE.lastrow)-ROW(PLE.firstrow))),0,IF(OFFSET(PLE!$G$14,$M48,CI$13)="",10^12,OFFSET(PLE!$G$14,$M48,CI$13))))</f>
        <v>1000000000000</v>
      </c>
      <c r="CJ48" s="217">
        <f ca="1">IF($D48&lt;&gt;"Serviço",0,IF(OR(AND(AUTOEVENTO="Manual",$M48=1),$M48&gt;(ROW(PLE.lastrow)-ROW(PLE.firstrow))),0,IF(OFFSET(PLE!$G$14,$M48,CJ$13)="",10^12,OFFSET(PLE!$G$14,$M48,CJ$13))))</f>
        <v>1000000000000</v>
      </c>
      <c r="CK48" s="217">
        <f ca="1">IF($D48&lt;&gt;"Serviço",0,IF(OR(AND(AUTOEVENTO="Manual",$M48=1),$M48&gt;(ROW(PLE.lastrow)-ROW(PLE.firstrow))),0,IF(OFFSET(PLE!$G$14,$M48,CK$13)="",10^12,OFFSET(PLE!$G$14,$M48,CK$13))))</f>
        <v>1000000000000</v>
      </c>
      <c r="CL48" s="217">
        <f ca="1">IF($D48&lt;&gt;"Serviço",0,IF(OR(AND(AUTOEVENTO="Manual",$M48=1),$M48&gt;(ROW(PLE.lastrow)-ROW(PLE.firstrow))),0,IF(OFFSET(PLE!$G$14,$M48,CL$13)="",10^12,OFFSET(PLE!$G$14,$M48,CL$13))))</f>
        <v>1000000000000</v>
      </c>
      <c r="CM48" s="217">
        <f ca="1">IF($D48&lt;&gt;"Serviço",0,IF(OR(AND(AUTOEVENTO="Manual",$M48=1),$M48&gt;(ROW(PLE.lastrow)-ROW(PLE.firstrow))),0,IF(OFFSET(PLE!$G$14,$M48,CM$13)="",10^12,OFFSET(PLE!$G$14,$M48,CM$13))))</f>
        <v>1000000000000</v>
      </c>
    </row>
    <row r="49" spans="1:91" ht="12.75" x14ac:dyDescent="0.2">
      <c r="A49" s="9" t="str">
        <f t="shared" ca="1" si="9"/>
        <v>34.</v>
      </c>
      <c r="B49" s="9">
        <f ca="1">OFFSET(ORÇAMENTO!C$15,ROW(B49)-ROW(B$15),0)</f>
        <v>2</v>
      </c>
      <c r="C49" s="9" t="str">
        <f ca="1">OFFSET(ORÇAMENTO!L$15,ROW(C49)-ROW(C$15),0)</f>
        <v>F</v>
      </c>
      <c r="D49" s="146" t="str">
        <f ca="1">OFFSET(ORÇAMENTO!N$15,ROW(D49)-ROW(D$15),0)</f>
        <v>Nível 2</v>
      </c>
      <c r="E49" s="206" t="str">
        <f ca="1">OFFSET(ORÇAMENTO!O$15,ROW(E49)-ROW(E$15),0)</f>
        <v>1.8.</v>
      </c>
      <c r="F49" s="207" t="str">
        <f ca="1">OFFSET(ORÇAMENTO!R$15,ROW(F49)-ROW(F$15),0)</f>
        <v xml:space="preserve">DRENAGEM </v>
      </c>
      <c r="G49" s="208" t="str">
        <f ca="1">IF($D49&lt;&gt;"Serviço","",OFFSET(ORÇAMENTO!S$15,ROW(G49)-ROW(G$15),0))</f>
        <v/>
      </c>
      <c r="H49" s="152">
        <f ca="1">IF($D49&lt;&gt;"Serviço",0,IF(ACOMPANHAMENTO="BM",ROUND(OFFSET(ORÇAMENTO!AJ$15,ROW(H49)-ROW(H$15),0),15-13*ORÇAMENTO!$AF$7),SUMPRODUCT(($Q$12:$AI$12&lt;&gt;"")*ROUND($Q49:$AI49,15-13*ORÇAMENTO!$AF$7))))</f>
        <v>0</v>
      </c>
      <c r="I49" s="649"/>
      <c r="K49" s="209"/>
      <c r="L49" s="210" t="s">
        <v>255</v>
      </c>
      <c r="M49" s="211" t="str">
        <f ca="1">IF($D49&lt;&gt;"Serviço","",IF(AUTOEVENTO="manual",$A49,IF(ISERROR(MATCH($A49,$A$15:OFFSET($A49,-1,0),0)),MAX($M$15:OFFSET(M49,-1,0))+1,INDEX($M$15:OFFSET(M49,-1,0),MATCH($A49,$A$15:OFFSET($A49,-1,0),0)))))</f>
        <v/>
      </c>
      <c r="N49" s="212" t="str">
        <f ca="1">IF($D49&lt;&gt;"Serviço","",IF(AUTOEVENTO="Manual",IF($A49=0,"&lt;-- defina o número do agrupador",OFFSET(EVENTOS!$D$14,$A49,0)),OFFSET($F$15,$A49,0)))</f>
        <v/>
      </c>
      <c r="O49" s="213"/>
      <c r="Q49" s="213"/>
      <c r="R49" s="214"/>
      <c r="S49" s="214"/>
      <c r="T49" s="214"/>
      <c r="U49" s="214"/>
      <c r="V49" s="214"/>
      <c r="W49" s="214"/>
      <c r="X49" s="214"/>
      <c r="Y49" s="214"/>
      <c r="Z49" s="215"/>
      <c r="AA49" s="214"/>
      <c r="AB49" s="214"/>
      <c r="AC49" s="214"/>
      <c r="AD49" s="214"/>
      <c r="AE49" s="214"/>
      <c r="AF49" s="214"/>
      <c r="AG49" s="214"/>
      <c r="AH49" s="215"/>
      <c r="AJ49" s="630">
        <f ca="1">IF(AND($D49="Serviço",AJ$12&lt;&gt;0,$H49&gt;0,OR(AUTOEVENTO&lt;&gt;"manual",$M49&lt;&gt;1)),
IF(Import.TipoArredondamento&lt;&gt;"TransfereGOV",
ROUND(OFFSET($P49,0,AJ$13),15-13*ORÇAMENTO!$AF$7)/$H49*OFFSET(ORÇAMENTO!$X$15,ROW(AJ49)-ROW(AJ$15),0),
ROUND(ROUND(OFFSET($P49,0,AJ$13),15-13*ORÇAMENTO!$AF$7)*OFFSET(ORÇAMENTO!$W$15,ROW(AJ49)-ROW(AJ$15),0),15-13*ORÇAMENTO!$AF$11)),0)</f>
        <v>0</v>
      </c>
      <c r="AK49" s="631">
        <f ca="1">IF(AND($D49="Serviço",AK$12&lt;&gt;0,$H49&gt;0,OR(AUTOEVENTO&lt;&gt;"manual",$M49&lt;&gt;1)),
IF(Import.TipoArredondamento&lt;&gt;"TransfereGOV",
ROUND(OFFSET($P49,0,AK$13),15-13*ORÇAMENTO!$AF$7)/$H49*OFFSET(ORÇAMENTO!$X$15,ROW(AK49)-ROW(AK$15),0),
ROUND(ROUND(OFFSET($P49,0,AK$13),15-13*ORÇAMENTO!$AF$7)*OFFSET(ORÇAMENTO!$W$15,ROW(AK49)-ROW(AK$15),0),15-13*ORÇAMENTO!$AF$11)),0)</f>
        <v>0</v>
      </c>
      <c r="AL49" s="631">
        <f ca="1">IF(AND($D49="Serviço",AL$12&lt;&gt;0,$H49&gt;0,OR(AUTOEVENTO&lt;&gt;"manual",$M49&lt;&gt;1)),
IF(Import.TipoArredondamento&lt;&gt;"TransfereGOV",
ROUND(OFFSET($P49,0,AL$13),15-13*ORÇAMENTO!$AF$7)/$H49*OFFSET(ORÇAMENTO!$X$15,ROW(AL49)-ROW(AL$15),0),
ROUND(ROUND(OFFSET($P49,0,AL$13),15-13*ORÇAMENTO!$AF$7)*OFFSET(ORÇAMENTO!$W$15,ROW(AL49)-ROW(AL$15),0),15-13*ORÇAMENTO!$AF$11)),0)</f>
        <v>0</v>
      </c>
      <c r="AM49" s="631">
        <f ca="1">IF(AND($D49="Serviço",AM$12&lt;&gt;0,$H49&gt;0,OR(AUTOEVENTO&lt;&gt;"manual",$M49&lt;&gt;1)),
IF(Import.TipoArredondamento&lt;&gt;"TransfereGOV",
ROUND(OFFSET($P49,0,AM$13),15-13*ORÇAMENTO!$AF$7)/$H49*OFFSET(ORÇAMENTO!$X$15,ROW(AM49)-ROW(AM$15),0),
ROUND(ROUND(OFFSET($P49,0,AM$13),15-13*ORÇAMENTO!$AF$7)*OFFSET(ORÇAMENTO!$W$15,ROW(AM49)-ROW(AM$15),0),15-13*ORÇAMENTO!$AF$11)),0)</f>
        <v>0</v>
      </c>
      <c r="AN49" s="631">
        <f ca="1">IF(AND($D49="Serviço",AN$12&lt;&gt;0,$H49&gt;0,OR(AUTOEVENTO&lt;&gt;"manual",$M49&lt;&gt;1)),
IF(Import.TipoArredondamento&lt;&gt;"TransfereGOV",
ROUND(OFFSET($P49,0,AN$13),15-13*ORÇAMENTO!$AF$7)/$H49*OFFSET(ORÇAMENTO!$X$15,ROW(AN49)-ROW(AN$15),0),
ROUND(ROUND(OFFSET($P49,0,AN$13),15-13*ORÇAMENTO!$AF$7)*OFFSET(ORÇAMENTO!$W$15,ROW(AN49)-ROW(AN$15),0),15-13*ORÇAMENTO!$AF$11)),0)</f>
        <v>0</v>
      </c>
      <c r="AO49" s="631">
        <f ca="1">IF(AND($D49="Serviço",AO$12&lt;&gt;0,$H49&gt;0,OR(AUTOEVENTO&lt;&gt;"manual",$M49&lt;&gt;1)),
IF(Import.TipoArredondamento&lt;&gt;"TransfereGOV",
ROUND(OFFSET($P49,0,AO$13),15-13*ORÇAMENTO!$AF$7)/$H49*OFFSET(ORÇAMENTO!$X$15,ROW(AO49)-ROW(AO$15),0),
ROUND(ROUND(OFFSET($P49,0,AO$13),15-13*ORÇAMENTO!$AF$7)*OFFSET(ORÇAMENTO!$W$15,ROW(AO49)-ROW(AO$15),0),15-13*ORÇAMENTO!$AF$11)),0)</f>
        <v>0</v>
      </c>
      <c r="AP49" s="631">
        <f ca="1">IF(AND($D49="Serviço",AP$12&lt;&gt;0,$H49&gt;0,OR(AUTOEVENTO&lt;&gt;"manual",$M49&lt;&gt;1)),
IF(Import.TipoArredondamento&lt;&gt;"TransfereGOV",
ROUND(OFFSET($P49,0,AP$13),15-13*ORÇAMENTO!$AF$7)/$H49*OFFSET(ORÇAMENTO!$X$15,ROW(AP49)-ROW(AP$15),0),
ROUND(ROUND(OFFSET($P49,0,AP$13),15-13*ORÇAMENTO!$AF$7)*OFFSET(ORÇAMENTO!$W$15,ROW(AP49)-ROW(AP$15),0),15-13*ORÇAMENTO!$AF$11)),0)</f>
        <v>0</v>
      </c>
      <c r="AQ49" s="631">
        <f ca="1">IF(AND($D49="Serviço",AQ$12&lt;&gt;0,$H49&gt;0,OR(AUTOEVENTO&lt;&gt;"manual",$M49&lt;&gt;1)),
IF(Import.TipoArredondamento&lt;&gt;"TransfereGOV",
ROUND(OFFSET($P49,0,AQ$13),15-13*ORÇAMENTO!$AF$7)/$H49*OFFSET(ORÇAMENTO!$X$15,ROW(AQ49)-ROW(AQ$15),0),
ROUND(ROUND(OFFSET($P49,0,AQ$13),15-13*ORÇAMENTO!$AF$7)*OFFSET(ORÇAMENTO!$W$15,ROW(AQ49)-ROW(AQ$15),0),15-13*ORÇAMENTO!$AF$11)),0)</f>
        <v>0</v>
      </c>
      <c r="AR49" s="631">
        <f ca="1">IF(AND($D49="Serviço",AR$12&lt;&gt;0,$H49&gt;0,OR(AUTOEVENTO&lt;&gt;"manual",$M49&lt;&gt;1)),
IF(Import.TipoArredondamento&lt;&gt;"TransfereGOV",
ROUND(OFFSET($P49,0,AR$13),15-13*ORÇAMENTO!$AF$7)/$H49*OFFSET(ORÇAMENTO!$X$15,ROW(AR49)-ROW(AR$15),0),
ROUND(ROUND(OFFSET($P49,0,AR$13),15-13*ORÇAMENTO!$AF$7)*OFFSET(ORÇAMENTO!$W$15,ROW(AR49)-ROW(AR$15),0),15-13*ORÇAMENTO!$AF$11)),0)</f>
        <v>0</v>
      </c>
      <c r="AS49" s="632">
        <f ca="1">IF(AND($D49="Serviço",AS$12&lt;&gt;0,$H49&gt;0,OR(AUTOEVENTO&lt;&gt;"manual",$M49&lt;&gt;1)),
IF(Import.TipoArredondamento&lt;&gt;"TransfereGOV",
ROUND(OFFSET($P49,0,AS$13),15-13*ORÇAMENTO!$AF$7)/$H49*OFFSET(ORÇAMENTO!$X$15,ROW(AS49)-ROW(AS$15),0),
ROUND(ROUND(OFFSET($P49,0,AS$13),15-13*ORÇAMENTO!$AF$7)*OFFSET(ORÇAMENTO!$W$15,ROW(AS49)-ROW(AS$15),0),15-13*ORÇAMENTO!$AF$11)),0)</f>
        <v>0</v>
      </c>
      <c r="AT49" s="631">
        <f ca="1">IF(AND($D49="Serviço",AT$12&lt;&gt;0,$H49&gt;0,OR(AUTOEVENTO&lt;&gt;"manual",$M49&lt;&gt;1)),
IF(Import.TipoArredondamento&lt;&gt;"TransfereGOV",
ROUND(OFFSET($P49,0,AT$13),15-13*ORÇAMENTO!$AF$7)/$H49*OFFSET(ORÇAMENTO!$X$15,ROW(AT49)-ROW(AT$15),0),
ROUND(ROUND(OFFSET($P49,0,AT$13),15-13*ORÇAMENTO!$AF$7)*OFFSET(ORÇAMENTO!$W$15,ROW(AT49)-ROW(AT$15),0),15-13*ORÇAMENTO!$AF$11)),0)</f>
        <v>0</v>
      </c>
      <c r="AU49" s="631">
        <f ca="1">IF(AND($D49="Serviço",AU$12&lt;&gt;0,$H49&gt;0,OR(AUTOEVENTO&lt;&gt;"manual",$M49&lt;&gt;1)),
IF(Import.TipoArredondamento&lt;&gt;"TransfereGOV",
ROUND(OFFSET($P49,0,AU$13),15-13*ORÇAMENTO!$AF$7)/$H49*OFFSET(ORÇAMENTO!$X$15,ROW(AU49)-ROW(AU$15),0),
ROUND(ROUND(OFFSET($P49,0,AU$13),15-13*ORÇAMENTO!$AF$7)*OFFSET(ORÇAMENTO!$W$15,ROW(AU49)-ROW(AU$15),0),15-13*ORÇAMENTO!$AF$11)),0)</f>
        <v>0</v>
      </c>
      <c r="AV49" s="631">
        <f ca="1">IF(AND($D49="Serviço",AV$12&lt;&gt;0,$H49&gt;0,OR(AUTOEVENTO&lt;&gt;"manual",$M49&lt;&gt;1)),
IF(Import.TipoArredondamento&lt;&gt;"TransfereGOV",
ROUND(OFFSET($P49,0,AV$13),15-13*ORÇAMENTO!$AF$7)/$H49*OFFSET(ORÇAMENTO!$X$15,ROW(AV49)-ROW(AV$15),0),
ROUND(ROUND(OFFSET($P49,0,AV$13),15-13*ORÇAMENTO!$AF$7)*OFFSET(ORÇAMENTO!$W$15,ROW(AV49)-ROW(AV$15),0),15-13*ORÇAMENTO!$AF$11)),0)</f>
        <v>0</v>
      </c>
      <c r="AW49" s="631">
        <f ca="1">IF(AND($D49="Serviço",AW$12&lt;&gt;0,$H49&gt;0,OR(AUTOEVENTO&lt;&gt;"manual",$M49&lt;&gt;1)),
IF(Import.TipoArredondamento&lt;&gt;"TransfereGOV",
ROUND(OFFSET($P49,0,AW$13),15-13*ORÇAMENTO!$AF$7)/$H49*OFFSET(ORÇAMENTO!$X$15,ROW(AW49)-ROW(AW$15),0),
ROUND(ROUND(OFFSET($P49,0,AW$13),15-13*ORÇAMENTO!$AF$7)*OFFSET(ORÇAMENTO!$W$15,ROW(AW49)-ROW(AW$15),0),15-13*ORÇAMENTO!$AF$11)),0)</f>
        <v>0</v>
      </c>
      <c r="AX49" s="631">
        <f ca="1">IF(AND($D49="Serviço",AX$12&lt;&gt;0,$H49&gt;0,OR(AUTOEVENTO&lt;&gt;"manual",$M49&lt;&gt;1)),
IF(Import.TipoArredondamento&lt;&gt;"TransfereGOV",
ROUND(OFFSET($P49,0,AX$13),15-13*ORÇAMENTO!$AF$7)/$H49*OFFSET(ORÇAMENTO!$X$15,ROW(AX49)-ROW(AX$15),0),
ROUND(ROUND(OFFSET($P49,0,AX$13),15-13*ORÇAMENTO!$AF$7)*OFFSET(ORÇAMENTO!$W$15,ROW(AX49)-ROW(AX$15),0),15-13*ORÇAMENTO!$AF$11)),0)</f>
        <v>0</v>
      </c>
      <c r="AY49" s="631">
        <f ca="1">IF(AND($D49="Serviço",AY$12&lt;&gt;0,$H49&gt;0,OR(AUTOEVENTO&lt;&gt;"manual",$M49&lt;&gt;1)),
IF(Import.TipoArredondamento&lt;&gt;"TransfereGOV",
ROUND(OFFSET($P49,0,AY$13),15-13*ORÇAMENTO!$AF$7)/$H49*OFFSET(ORÇAMENTO!$X$15,ROW(AY49)-ROW(AY$15),0),
ROUND(ROUND(OFFSET($P49,0,AY$13),15-13*ORÇAMENTO!$AF$7)*OFFSET(ORÇAMENTO!$W$15,ROW(AY49)-ROW(AY$15),0),15-13*ORÇAMENTO!$AF$11)),0)</f>
        <v>0</v>
      </c>
      <c r="AZ49" s="631">
        <f ca="1">IF(AND($D49="Serviço",AZ$12&lt;&gt;0,$H49&gt;0,OR(AUTOEVENTO&lt;&gt;"manual",$M49&lt;&gt;1)),
IF(Import.TipoArredondamento&lt;&gt;"TransfereGOV",
ROUND(OFFSET($P49,0,AZ$13),15-13*ORÇAMENTO!$AF$7)/$H49*OFFSET(ORÇAMENTO!$X$15,ROW(AZ49)-ROW(AZ$15),0),
ROUND(ROUND(OFFSET($P49,0,AZ$13),15-13*ORÇAMENTO!$AF$7)*OFFSET(ORÇAMENTO!$W$15,ROW(AZ49)-ROW(AZ$15),0),15-13*ORÇAMENTO!$AF$11)),0)</f>
        <v>0</v>
      </c>
      <c r="BA49" s="632">
        <f ca="1">IF(AND($D49="Serviço",BA$12&lt;&gt;0,$H49&gt;0,OR(AUTOEVENTO&lt;&gt;"manual",$M49&lt;&gt;1)),
IF(Import.TipoArredondamento&lt;&gt;"TransfereGOV",
ROUND(OFFSET($P49,0,BA$13),15-13*ORÇAMENTO!$AF$7)/$H49*OFFSET(ORÇAMENTO!$X$15,ROW(BA49)-ROW(BA$15),0),
ROUND(ROUND(OFFSET($P49,0,BA$13),15-13*ORÇAMENTO!$AF$7)*OFFSET(ORÇAMENTO!$W$15,ROW(BA49)-ROW(BA$15),0),15-13*ORÇAMENTO!$AF$11)),0)</f>
        <v>0</v>
      </c>
      <c r="BC49" s="216">
        <f ca="1">IF($D49&lt;&gt;"Serviço",0,IF(AND(AUTOEVENTO="Manual",$M49=1),0,IF(OFFSET(CRONOPLE!$F$14,$M49,BC$13)="",10^12,OFFSET(CRONOPLE!$F$14,$M49,BC$13))))</f>
        <v>0</v>
      </c>
      <c r="BD49" s="216">
        <f ca="1">IF($D49&lt;&gt;"Serviço",0,IF(AND(AUTOEVENTO="Manual",$M49=1),0,IF(OFFSET(CRONOPLE!$F$14,$M49,BD$13)="",10^12,OFFSET(CRONOPLE!$F$14,$M49,BD$13))))</f>
        <v>0</v>
      </c>
      <c r="BE49" s="216">
        <f ca="1">IF($D49&lt;&gt;"Serviço",0,IF(AND(AUTOEVENTO="Manual",$M49=1),0,IF(OFFSET(CRONOPLE!$F$14,$M49,BE$13)="",10^12,OFFSET(CRONOPLE!$F$14,$M49,BE$13))))</f>
        <v>0</v>
      </c>
      <c r="BF49" s="216">
        <f ca="1">IF($D49&lt;&gt;"Serviço",0,IF(AND(AUTOEVENTO="Manual",$M49=1),0,IF(OFFSET(CRONOPLE!$F$14,$M49,BF$13)="",10^12,OFFSET(CRONOPLE!$F$14,$M49,BF$13))))</f>
        <v>0</v>
      </c>
      <c r="BG49" s="216">
        <f ca="1">IF($D49&lt;&gt;"Serviço",0,IF(AND(AUTOEVENTO="Manual",$M49=1),0,IF(OFFSET(CRONOPLE!$F$14,$M49,BG$13)="",10^12,OFFSET(CRONOPLE!$F$14,$M49,BG$13))))</f>
        <v>0</v>
      </c>
      <c r="BH49" s="216">
        <f ca="1">IF($D49&lt;&gt;"Serviço",0,IF(AND(AUTOEVENTO="Manual",$M49=1),0,IF(OFFSET(CRONOPLE!$F$14,$M49,BH$13)="",10^12,OFFSET(CRONOPLE!$F$14,$M49,BH$13))))</f>
        <v>0</v>
      </c>
      <c r="BI49" s="216">
        <f ca="1">IF($D49&lt;&gt;"Serviço",0,IF(AND(AUTOEVENTO="Manual",$M49=1),0,IF(OFFSET(CRONOPLE!$F$14,$M49,BI$13)="",10^12,OFFSET(CRONOPLE!$F$14,$M49,BI$13))))</f>
        <v>0</v>
      </c>
      <c r="BJ49" s="216">
        <f ca="1">IF($D49&lt;&gt;"Serviço",0,IF(AND(AUTOEVENTO="Manual",$M49=1),0,IF(OFFSET(CRONOPLE!$F$14,$M49,BJ$13)="",10^12,OFFSET(CRONOPLE!$F$14,$M49,BJ$13))))</f>
        <v>0</v>
      </c>
      <c r="BK49" s="216">
        <f ca="1">IF($D49&lt;&gt;"Serviço",0,IF(AND(AUTOEVENTO="Manual",$M49=1),0,IF(OFFSET(CRONOPLE!$F$14,$M49,BK$13)="",10^12,OFFSET(CRONOPLE!$F$14,$M49,BK$13))))</f>
        <v>0</v>
      </c>
      <c r="BL49" s="216">
        <f ca="1">IF($D49&lt;&gt;"Serviço",0,IF(AND(AUTOEVENTO="Manual",$M49=1),0,IF(OFFSET(CRONOPLE!$F$14,$M49,BL$13)="",10^12,OFFSET(CRONOPLE!$F$14,$M49,BL$13))))</f>
        <v>0</v>
      </c>
      <c r="BM49" s="216">
        <f ca="1">IF($D49&lt;&gt;"Serviço",0,IF(AND(AUTOEVENTO="Manual",$M49=1),0,IF(OFFSET(CRONOPLE!$F$14,$M49,BM$13)="",10^12,OFFSET(CRONOPLE!$F$14,$M49,BM$13))))</f>
        <v>0</v>
      </c>
      <c r="BN49" s="216">
        <f ca="1">IF($D49&lt;&gt;"Serviço",0,IF(AND(AUTOEVENTO="Manual",$M49=1),0,IF(OFFSET(CRONOPLE!$F$14,$M49,BN$13)="",10^12,OFFSET(CRONOPLE!$F$14,$M49,BN$13))))</f>
        <v>0</v>
      </c>
      <c r="BO49" s="216">
        <f ca="1">IF($D49&lt;&gt;"Serviço",0,IF(AND(AUTOEVENTO="Manual",$M49=1),0,IF(OFFSET(CRONOPLE!$F$14,$M49,BO$13)="",10^12,OFFSET(CRONOPLE!$F$14,$M49,BO$13))))</f>
        <v>0</v>
      </c>
      <c r="BP49" s="216">
        <f ca="1">IF($D49&lt;&gt;"Serviço",0,IF(AND(AUTOEVENTO="Manual",$M49=1),0,IF(OFFSET(CRONOPLE!$F$14,$M49,BP$13)="",10^12,OFFSET(CRONOPLE!$F$14,$M49,BP$13))))</f>
        <v>0</v>
      </c>
      <c r="BQ49" s="216">
        <f ca="1">IF($D49&lt;&gt;"Serviço",0,IF(AND(AUTOEVENTO="Manual",$M49=1),0,IF(OFFSET(CRONOPLE!$F$14,$M49,BQ$13)="",10^12,OFFSET(CRONOPLE!$F$14,$M49,BQ$13))))</f>
        <v>0</v>
      </c>
      <c r="BR49" s="216">
        <f ca="1">IF($D49&lt;&gt;"Serviço",0,IF(AND(AUTOEVENTO="Manual",$M49=1),0,IF(OFFSET(CRONOPLE!$F$14,$M49,BR$13)="",10^12,OFFSET(CRONOPLE!$F$14,$M49,BR$13))))</f>
        <v>0</v>
      </c>
      <c r="BS49" s="216">
        <f ca="1">IF($D49&lt;&gt;"Serviço",0,IF(AND(AUTOEVENTO="Manual",$M49=1),0,IF(OFFSET(CRONOPLE!$F$14,$M49,BS$13)="",10^12,OFFSET(CRONOPLE!$F$14,$M49,BS$13))))</f>
        <v>0</v>
      </c>
      <c r="BT49" s="216">
        <f ca="1">IF($D49&lt;&gt;"Serviço",0,IF(AND(AUTOEVENTO="Manual",$M49=1),0,IF(OFFSET(CRONOPLE!$F$14,$M49,BT$13)="",10^12,OFFSET(CRONOPLE!$F$14,$M49,BT$13))))</f>
        <v>0</v>
      </c>
      <c r="BV49" s="217">
        <f ca="1">IF($D49&lt;&gt;"Serviço",0,IF(OR(AND(AUTOEVENTO="Manual",$M49=1),$M49&gt;(ROW(PLE.lastrow)-ROW(PLE.firstrow))),0,IF(OFFSET(PLE!$G$14,$M49,BV$13)="",10^12,OFFSET(PLE!$G$14,$M49,BV$13))))</f>
        <v>0</v>
      </c>
      <c r="BW49" s="217">
        <f ca="1">IF($D49&lt;&gt;"Serviço",0,IF(OR(AND(AUTOEVENTO="Manual",$M49=1),$M49&gt;(ROW(PLE.lastrow)-ROW(PLE.firstrow))),0,IF(OFFSET(PLE!$G$14,$M49,BW$13)="",10^12,OFFSET(PLE!$G$14,$M49,BW$13))))</f>
        <v>0</v>
      </c>
      <c r="BX49" s="217">
        <f ca="1">IF($D49&lt;&gt;"Serviço",0,IF(OR(AND(AUTOEVENTO="Manual",$M49=1),$M49&gt;(ROW(PLE.lastrow)-ROW(PLE.firstrow))),0,IF(OFFSET(PLE!$G$14,$M49,BX$13)="",10^12,OFFSET(PLE!$G$14,$M49,BX$13))))</f>
        <v>0</v>
      </c>
      <c r="BY49" s="217">
        <f ca="1">IF($D49&lt;&gt;"Serviço",0,IF(OR(AND(AUTOEVENTO="Manual",$M49=1),$M49&gt;(ROW(PLE.lastrow)-ROW(PLE.firstrow))),0,IF(OFFSET(PLE!$G$14,$M49,BY$13)="",10^12,OFFSET(PLE!$G$14,$M49,BY$13))))</f>
        <v>0</v>
      </c>
      <c r="BZ49" s="217">
        <f ca="1">IF($D49&lt;&gt;"Serviço",0,IF(OR(AND(AUTOEVENTO="Manual",$M49=1),$M49&gt;(ROW(PLE.lastrow)-ROW(PLE.firstrow))),0,IF(OFFSET(PLE!$G$14,$M49,BZ$13)="",10^12,OFFSET(PLE!$G$14,$M49,BZ$13))))</f>
        <v>0</v>
      </c>
      <c r="CA49" s="217">
        <f ca="1">IF($D49&lt;&gt;"Serviço",0,IF(OR(AND(AUTOEVENTO="Manual",$M49=1),$M49&gt;(ROW(PLE.lastrow)-ROW(PLE.firstrow))),0,IF(OFFSET(PLE!$G$14,$M49,CA$13)="",10^12,OFFSET(PLE!$G$14,$M49,CA$13))))</f>
        <v>0</v>
      </c>
      <c r="CB49" s="217">
        <f ca="1">IF($D49&lt;&gt;"Serviço",0,IF(OR(AND(AUTOEVENTO="Manual",$M49=1),$M49&gt;(ROW(PLE.lastrow)-ROW(PLE.firstrow))),0,IF(OFFSET(PLE!$G$14,$M49,CB$13)="",10^12,OFFSET(PLE!$G$14,$M49,CB$13))))</f>
        <v>0</v>
      </c>
      <c r="CC49" s="217">
        <f ca="1">IF($D49&lt;&gt;"Serviço",0,IF(OR(AND(AUTOEVENTO="Manual",$M49=1),$M49&gt;(ROW(PLE.lastrow)-ROW(PLE.firstrow))),0,IF(OFFSET(PLE!$G$14,$M49,CC$13)="",10^12,OFFSET(PLE!$G$14,$M49,CC$13))))</f>
        <v>0</v>
      </c>
      <c r="CD49" s="217">
        <f ca="1">IF($D49&lt;&gt;"Serviço",0,IF(OR(AND(AUTOEVENTO="Manual",$M49=1),$M49&gt;(ROW(PLE.lastrow)-ROW(PLE.firstrow))),0,IF(OFFSET(PLE!$G$14,$M49,CD$13)="",10^12,OFFSET(PLE!$G$14,$M49,CD$13))))</f>
        <v>0</v>
      </c>
      <c r="CE49" s="217">
        <f ca="1">IF($D49&lt;&gt;"Serviço",0,IF(OR(AND(AUTOEVENTO="Manual",$M49=1),$M49&gt;(ROW(PLE.lastrow)-ROW(PLE.firstrow))),0,IF(OFFSET(PLE!$G$14,$M49,CE$13)="",10^12,OFFSET(PLE!$G$14,$M49,CE$13))))</f>
        <v>0</v>
      </c>
      <c r="CF49" s="217">
        <f ca="1">IF($D49&lt;&gt;"Serviço",0,IF(OR(AND(AUTOEVENTO="Manual",$M49=1),$M49&gt;(ROW(PLE.lastrow)-ROW(PLE.firstrow))),0,IF(OFFSET(PLE!$G$14,$M49,CF$13)="",10^12,OFFSET(PLE!$G$14,$M49,CF$13))))</f>
        <v>0</v>
      </c>
      <c r="CG49" s="217">
        <f ca="1">IF($D49&lt;&gt;"Serviço",0,IF(OR(AND(AUTOEVENTO="Manual",$M49=1),$M49&gt;(ROW(PLE.lastrow)-ROW(PLE.firstrow))),0,IF(OFFSET(PLE!$G$14,$M49,CG$13)="",10^12,OFFSET(PLE!$G$14,$M49,CG$13))))</f>
        <v>0</v>
      </c>
      <c r="CH49" s="217">
        <f ca="1">IF($D49&lt;&gt;"Serviço",0,IF(OR(AND(AUTOEVENTO="Manual",$M49=1),$M49&gt;(ROW(PLE.lastrow)-ROW(PLE.firstrow))),0,IF(OFFSET(PLE!$G$14,$M49,CH$13)="",10^12,OFFSET(PLE!$G$14,$M49,CH$13))))</f>
        <v>0</v>
      </c>
      <c r="CI49" s="217">
        <f ca="1">IF($D49&lt;&gt;"Serviço",0,IF(OR(AND(AUTOEVENTO="Manual",$M49=1),$M49&gt;(ROW(PLE.lastrow)-ROW(PLE.firstrow))),0,IF(OFFSET(PLE!$G$14,$M49,CI$13)="",10^12,OFFSET(PLE!$G$14,$M49,CI$13))))</f>
        <v>0</v>
      </c>
      <c r="CJ49" s="217">
        <f ca="1">IF($D49&lt;&gt;"Serviço",0,IF(OR(AND(AUTOEVENTO="Manual",$M49=1),$M49&gt;(ROW(PLE.lastrow)-ROW(PLE.firstrow))),0,IF(OFFSET(PLE!$G$14,$M49,CJ$13)="",10^12,OFFSET(PLE!$G$14,$M49,CJ$13))))</f>
        <v>0</v>
      </c>
      <c r="CK49" s="217">
        <f ca="1">IF($D49&lt;&gt;"Serviço",0,IF(OR(AND(AUTOEVENTO="Manual",$M49=1),$M49&gt;(ROW(PLE.lastrow)-ROW(PLE.firstrow))),0,IF(OFFSET(PLE!$G$14,$M49,CK$13)="",10^12,OFFSET(PLE!$G$14,$M49,CK$13))))</f>
        <v>0</v>
      </c>
      <c r="CL49" s="217">
        <f ca="1">IF($D49&lt;&gt;"Serviço",0,IF(OR(AND(AUTOEVENTO="Manual",$M49=1),$M49&gt;(ROW(PLE.lastrow)-ROW(PLE.firstrow))),0,IF(OFFSET(PLE!$G$14,$M49,CL$13)="",10^12,OFFSET(PLE!$G$14,$M49,CL$13))))</f>
        <v>0</v>
      </c>
      <c r="CM49" s="217">
        <f ca="1">IF($D49&lt;&gt;"Serviço",0,IF(OR(AND(AUTOEVENTO="Manual",$M49=1),$M49&gt;(ROW(PLE.lastrow)-ROW(PLE.firstrow))),0,IF(OFFSET(PLE!$G$14,$M49,CM$13)="",10^12,OFFSET(PLE!$G$14,$M49,CM$13))))</f>
        <v>0</v>
      </c>
    </row>
    <row r="50" spans="1:91" ht="25.5" x14ac:dyDescent="0.2">
      <c r="A50" s="9" t="str">
        <f t="shared" ca="1" si="9"/>
        <v>34</v>
      </c>
      <c r="B50" s="9" t="str">
        <f ca="1">OFFSET(ORÇAMENTO!C$15,ROW(B50)-ROW(B$15),0)</f>
        <v>S</v>
      </c>
      <c r="C50" s="9" t="str">
        <f ca="1">OFFSET(ORÇAMENTO!L$15,ROW(C50)-ROW(C$15),0)</f>
        <v/>
      </c>
      <c r="D50" s="146" t="str">
        <f ca="1">OFFSET(ORÇAMENTO!N$15,ROW(D50)-ROW(D$15),0)</f>
        <v>Serviço</v>
      </c>
      <c r="E50" s="206" t="str">
        <f ca="1">OFFSET(ORÇAMENTO!O$15,ROW(E50)-ROW(E$15),0)</f>
        <v>-</v>
      </c>
      <c r="F50" s="207" t="str">
        <f ca="1">OFFSET(ORÇAMENTO!R$15,ROW(F50)-ROW(F$15),0)</f>
        <v>(abra o arquivo 'Referência 12-2023.xlsm)</v>
      </c>
      <c r="G50" s="208" t="str">
        <f ca="1">IF($D50&lt;&gt;"Serviço","",OFFSET(ORÇAMENTO!S$15,ROW(G50)-ROW(G$15),0))</f>
        <v>-</v>
      </c>
      <c r="H50" s="152">
        <f ca="1">IF($D50&lt;&gt;"Serviço",0,IF(ACOMPANHAMENTO="BM",ROUND(OFFSET(ORÇAMENTO!AJ$15,ROW(H50)-ROW(H$15),0),15-13*ORÇAMENTO!$AF$7),SUMPRODUCT(($Q$12:$AI$12&lt;&gt;"")*ROUND($Q50:$AI50,15-13*ORÇAMENTO!$AF$7))))</f>
        <v>1177.73</v>
      </c>
      <c r="I50" s="649" t="s">
        <v>504</v>
      </c>
      <c r="K50" s="209"/>
      <c r="L50" s="210" t="s">
        <v>255</v>
      </c>
      <c r="M50" s="211">
        <f ca="1">IF($D50&lt;&gt;"Serviço","",IF(AUTOEVENTO="manual",$A50,IF(ISERROR(MATCH($A50,$A$15:OFFSET($A50,-1,0),0)),MAX($M$15:OFFSET(M50,-1,0))+1,INDEX($M$15:OFFSET(M50,-1,0),MATCH($A50,$A$15:OFFSET($A50,-1,0),0)))))</f>
        <v>9</v>
      </c>
      <c r="N50" s="212" t="str">
        <f ca="1">IF($D50&lt;&gt;"Serviço","",IF(AUTOEVENTO="Manual",IF($A50=0,"&lt;-- defina o número do agrupador",OFFSET(EVENTOS!$D$14,$A50,0)),OFFSET($F$15,$A50,0)))</f>
        <v xml:space="preserve">DRENAGEM </v>
      </c>
      <c r="O50" s="213"/>
      <c r="Q50" s="213"/>
      <c r="R50" s="214"/>
      <c r="S50" s="214"/>
      <c r="T50" s="214"/>
      <c r="U50" s="214"/>
      <c r="V50" s="214">
        <v>1177.73</v>
      </c>
      <c r="W50" s="214"/>
      <c r="X50" s="214"/>
      <c r="Y50" s="214"/>
      <c r="Z50" s="215"/>
      <c r="AA50" s="214"/>
      <c r="AB50" s="214"/>
      <c r="AC50" s="214"/>
      <c r="AD50" s="214"/>
      <c r="AE50" s="214"/>
      <c r="AF50" s="214"/>
      <c r="AG50" s="214"/>
      <c r="AH50" s="215"/>
      <c r="AJ50" s="630">
        <f ca="1">IF(AND($D50="Serviço",AJ$12&lt;&gt;0,$H50&gt;0,OR(AUTOEVENTO&lt;&gt;"manual",$M50&lt;&gt;1)),
IF(Import.TipoArredondamento&lt;&gt;"TransfereGOV",
ROUND(OFFSET($P50,0,AJ$13),15-13*ORÇAMENTO!$AF$7)/$H50*OFFSET(ORÇAMENTO!$X$15,ROW(AJ50)-ROW(AJ$15),0),
ROUND(ROUND(OFFSET($P50,0,AJ$13),15-13*ORÇAMENTO!$AF$7)*OFFSET(ORÇAMENTO!$W$15,ROW(AJ50)-ROW(AJ$15),0),15-13*ORÇAMENTO!$AF$11)),0)</f>
        <v>0</v>
      </c>
      <c r="AK50" s="631">
        <f ca="1">IF(AND($D50="Serviço",AK$12&lt;&gt;0,$H50&gt;0,OR(AUTOEVENTO&lt;&gt;"manual",$M50&lt;&gt;1)),
IF(Import.TipoArredondamento&lt;&gt;"TransfereGOV",
ROUND(OFFSET($P50,0,AK$13),15-13*ORÇAMENTO!$AF$7)/$H50*OFFSET(ORÇAMENTO!$X$15,ROW(AK50)-ROW(AK$15),0),
ROUND(ROUND(OFFSET($P50,0,AK$13),15-13*ORÇAMENTO!$AF$7)*OFFSET(ORÇAMENTO!$W$15,ROW(AK50)-ROW(AK$15),0),15-13*ORÇAMENTO!$AF$11)),0)</f>
        <v>0</v>
      </c>
      <c r="AL50" s="631">
        <f ca="1">IF(AND($D50="Serviço",AL$12&lt;&gt;0,$H50&gt;0,OR(AUTOEVENTO&lt;&gt;"manual",$M50&lt;&gt;1)),
IF(Import.TipoArredondamento&lt;&gt;"TransfereGOV",
ROUND(OFFSET($P50,0,AL$13),15-13*ORÇAMENTO!$AF$7)/$H50*OFFSET(ORÇAMENTO!$X$15,ROW(AL50)-ROW(AL$15),0),
ROUND(ROUND(OFFSET($P50,0,AL$13),15-13*ORÇAMENTO!$AF$7)*OFFSET(ORÇAMENTO!$W$15,ROW(AL50)-ROW(AL$15),0),15-13*ORÇAMENTO!$AF$11)),0)</f>
        <v>0</v>
      </c>
      <c r="AM50" s="631">
        <f ca="1">IF(AND($D50="Serviço",AM$12&lt;&gt;0,$H50&gt;0,OR(AUTOEVENTO&lt;&gt;"manual",$M50&lt;&gt;1)),
IF(Import.TipoArredondamento&lt;&gt;"TransfereGOV",
ROUND(OFFSET($P50,0,AM$13),15-13*ORÇAMENTO!$AF$7)/$H50*OFFSET(ORÇAMENTO!$X$15,ROW(AM50)-ROW(AM$15),0),
ROUND(ROUND(OFFSET($P50,0,AM$13),15-13*ORÇAMENTO!$AF$7)*OFFSET(ORÇAMENTO!$W$15,ROW(AM50)-ROW(AM$15),0),15-13*ORÇAMENTO!$AF$11)),0)</f>
        <v>0</v>
      </c>
      <c r="AN50" s="631">
        <f ca="1">IF(AND($D50="Serviço",AN$12&lt;&gt;0,$H50&gt;0,OR(AUTOEVENTO&lt;&gt;"manual",$M50&lt;&gt;1)),
IF(Import.TipoArredondamento&lt;&gt;"TransfereGOV",
ROUND(OFFSET($P50,0,AN$13),15-13*ORÇAMENTO!$AF$7)/$H50*OFFSET(ORÇAMENTO!$X$15,ROW(AN50)-ROW(AN$15),0),
ROUND(ROUND(OFFSET($P50,0,AN$13),15-13*ORÇAMENTO!$AF$7)*OFFSET(ORÇAMENTO!$W$15,ROW(AN50)-ROW(AN$15),0),15-13*ORÇAMENTO!$AF$11)),0)</f>
        <v>0</v>
      </c>
      <c r="AO50" s="631">
        <f ca="1">IF(AND($D50="Serviço",AO$12&lt;&gt;0,$H50&gt;0,OR(AUTOEVENTO&lt;&gt;"manual",$M50&lt;&gt;1)),
IF(Import.TipoArredondamento&lt;&gt;"TransfereGOV",
ROUND(OFFSET($P50,0,AO$13),15-13*ORÇAMENTO!$AF$7)/$H50*OFFSET(ORÇAMENTO!$X$15,ROW(AO50)-ROW(AO$15),0),
ROUND(ROUND(OFFSET($P50,0,AO$13),15-13*ORÇAMENTO!$AF$7)*OFFSET(ORÇAMENTO!$W$15,ROW(AO50)-ROW(AO$15),0),15-13*ORÇAMENTO!$AF$11)),0)</f>
        <v>0</v>
      </c>
      <c r="AP50" s="631">
        <f ca="1">IF(AND($D50="Serviço",AP$12&lt;&gt;0,$H50&gt;0,OR(AUTOEVENTO&lt;&gt;"manual",$M50&lt;&gt;1)),
IF(Import.TipoArredondamento&lt;&gt;"TransfereGOV",
ROUND(OFFSET($P50,0,AP$13),15-13*ORÇAMENTO!$AF$7)/$H50*OFFSET(ORÇAMENTO!$X$15,ROW(AP50)-ROW(AP$15),0),
ROUND(ROUND(OFFSET($P50,0,AP$13),15-13*ORÇAMENTO!$AF$7)*OFFSET(ORÇAMENTO!$W$15,ROW(AP50)-ROW(AP$15),0),15-13*ORÇAMENTO!$AF$11)),0)</f>
        <v>0</v>
      </c>
      <c r="AQ50" s="631">
        <f ca="1">IF(AND($D50="Serviço",AQ$12&lt;&gt;0,$H50&gt;0,OR(AUTOEVENTO&lt;&gt;"manual",$M50&lt;&gt;1)),
IF(Import.TipoArredondamento&lt;&gt;"TransfereGOV",
ROUND(OFFSET($P50,0,AQ$13),15-13*ORÇAMENTO!$AF$7)/$H50*OFFSET(ORÇAMENTO!$X$15,ROW(AQ50)-ROW(AQ$15),0),
ROUND(ROUND(OFFSET($P50,0,AQ$13),15-13*ORÇAMENTO!$AF$7)*OFFSET(ORÇAMENTO!$W$15,ROW(AQ50)-ROW(AQ$15),0),15-13*ORÇAMENTO!$AF$11)),0)</f>
        <v>0</v>
      </c>
      <c r="AR50" s="631">
        <f ca="1">IF(AND($D50="Serviço",AR$12&lt;&gt;0,$H50&gt;0,OR(AUTOEVENTO&lt;&gt;"manual",$M50&lt;&gt;1)),
IF(Import.TipoArredondamento&lt;&gt;"TransfereGOV",
ROUND(OFFSET($P50,0,AR$13),15-13*ORÇAMENTO!$AF$7)/$H50*OFFSET(ORÇAMENTO!$X$15,ROW(AR50)-ROW(AR$15),0),
ROUND(ROUND(OFFSET($P50,0,AR$13),15-13*ORÇAMENTO!$AF$7)*OFFSET(ORÇAMENTO!$W$15,ROW(AR50)-ROW(AR$15),0),15-13*ORÇAMENTO!$AF$11)),0)</f>
        <v>0</v>
      </c>
      <c r="AS50" s="632">
        <f ca="1">IF(AND($D50="Serviço",AS$12&lt;&gt;0,$H50&gt;0,OR(AUTOEVENTO&lt;&gt;"manual",$M50&lt;&gt;1)),
IF(Import.TipoArredondamento&lt;&gt;"TransfereGOV",
ROUND(OFFSET($P50,0,AS$13),15-13*ORÇAMENTO!$AF$7)/$H50*OFFSET(ORÇAMENTO!$X$15,ROW(AS50)-ROW(AS$15),0),
ROUND(ROUND(OFFSET($P50,0,AS$13),15-13*ORÇAMENTO!$AF$7)*OFFSET(ORÇAMENTO!$W$15,ROW(AS50)-ROW(AS$15),0),15-13*ORÇAMENTO!$AF$11)),0)</f>
        <v>0</v>
      </c>
      <c r="AT50" s="631">
        <f ca="1">IF(AND($D50="Serviço",AT$12&lt;&gt;0,$H50&gt;0,OR(AUTOEVENTO&lt;&gt;"manual",$M50&lt;&gt;1)),
IF(Import.TipoArredondamento&lt;&gt;"TransfereGOV",
ROUND(OFFSET($P50,0,AT$13),15-13*ORÇAMENTO!$AF$7)/$H50*OFFSET(ORÇAMENTO!$X$15,ROW(AT50)-ROW(AT$15),0),
ROUND(ROUND(OFFSET($P50,0,AT$13),15-13*ORÇAMENTO!$AF$7)*OFFSET(ORÇAMENTO!$W$15,ROW(AT50)-ROW(AT$15),0),15-13*ORÇAMENTO!$AF$11)),0)</f>
        <v>0</v>
      </c>
      <c r="AU50" s="631">
        <f ca="1">IF(AND($D50="Serviço",AU$12&lt;&gt;0,$H50&gt;0,OR(AUTOEVENTO&lt;&gt;"manual",$M50&lt;&gt;1)),
IF(Import.TipoArredondamento&lt;&gt;"TransfereGOV",
ROUND(OFFSET($P50,0,AU$13),15-13*ORÇAMENTO!$AF$7)/$H50*OFFSET(ORÇAMENTO!$X$15,ROW(AU50)-ROW(AU$15),0),
ROUND(ROUND(OFFSET($P50,0,AU$13),15-13*ORÇAMENTO!$AF$7)*OFFSET(ORÇAMENTO!$W$15,ROW(AU50)-ROW(AU$15),0),15-13*ORÇAMENTO!$AF$11)),0)</f>
        <v>0</v>
      </c>
      <c r="AV50" s="631">
        <f ca="1">IF(AND($D50="Serviço",AV$12&lt;&gt;0,$H50&gt;0,OR(AUTOEVENTO&lt;&gt;"manual",$M50&lt;&gt;1)),
IF(Import.TipoArredondamento&lt;&gt;"TransfereGOV",
ROUND(OFFSET($P50,0,AV$13),15-13*ORÇAMENTO!$AF$7)/$H50*OFFSET(ORÇAMENTO!$X$15,ROW(AV50)-ROW(AV$15),0),
ROUND(ROUND(OFFSET($P50,0,AV$13),15-13*ORÇAMENTO!$AF$7)*OFFSET(ORÇAMENTO!$W$15,ROW(AV50)-ROW(AV$15),0),15-13*ORÇAMENTO!$AF$11)),0)</f>
        <v>0</v>
      </c>
      <c r="AW50" s="631">
        <f ca="1">IF(AND($D50="Serviço",AW$12&lt;&gt;0,$H50&gt;0,OR(AUTOEVENTO&lt;&gt;"manual",$M50&lt;&gt;1)),
IF(Import.TipoArredondamento&lt;&gt;"TransfereGOV",
ROUND(OFFSET($P50,0,AW$13),15-13*ORÇAMENTO!$AF$7)/$H50*OFFSET(ORÇAMENTO!$X$15,ROW(AW50)-ROW(AW$15),0),
ROUND(ROUND(OFFSET($P50,0,AW$13),15-13*ORÇAMENTO!$AF$7)*OFFSET(ORÇAMENTO!$W$15,ROW(AW50)-ROW(AW$15),0),15-13*ORÇAMENTO!$AF$11)),0)</f>
        <v>0</v>
      </c>
      <c r="AX50" s="631">
        <f ca="1">IF(AND($D50="Serviço",AX$12&lt;&gt;0,$H50&gt;0,OR(AUTOEVENTO&lt;&gt;"manual",$M50&lt;&gt;1)),
IF(Import.TipoArredondamento&lt;&gt;"TransfereGOV",
ROUND(OFFSET($P50,0,AX$13),15-13*ORÇAMENTO!$AF$7)/$H50*OFFSET(ORÇAMENTO!$X$15,ROW(AX50)-ROW(AX$15),0),
ROUND(ROUND(OFFSET($P50,0,AX$13),15-13*ORÇAMENTO!$AF$7)*OFFSET(ORÇAMENTO!$W$15,ROW(AX50)-ROW(AX$15),0),15-13*ORÇAMENTO!$AF$11)),0)</f>
        <v>0</v>
      </c>
      <c r="AY50" s="631">
        <f ca="1">IF(AND($D50="Serviço",AY$12&lt;&gt;0,$H50&gt;0,OR(AUTOEVENTO&lt;&gt;"manual",$M50&lt;&gt;1)),
IF(Import.TipoArredondamento&lt;&gt;"TransfereGOV",
ROUND(OFFSET($P50,0,AY$13),15-13*ORÇAMENTO!$AF$7)/$H50*OFFSET(ORÇAMENTO!$X$15,ROW(AY50)-ROW(AY$15),0),
ROUND(ROUND(OFFSET($P50,0,AY$13),15-13*ORÇAMENTO!$AF$7)*OFFSET(ORÇAMENTO!$W$15,ROW(AY50)-ROW(AY$15),0),15-13*ORÇAMENTO!$AF$11)),0)</f>
        <v>0</v>
      </c>
      <c r="AZ50" s="631">
        <f ca="1">IF(AND($D50="Serviço",AZ$12&lt;&gt;0,$H50&gt;0,OR(AUTOEVENTO&lt;&gt;"manual",$M50&lt;&gt;1)),
IF(Import.TipoArredondamento&lt;&gt;"TransfereGOV",
ROUND(OFFSET($P50,0,AZ$13),15-13*ORÇAMENTO!$AF$7)/$H50*OFFSET(ORÇAMENTO!$X$15,ROW(AZ50)-ROW(AZ$15),0),
ROUND(ROUND(OFFSET($P50,0,AZ$13),15-13*ORÇAMENTO!$AF$7)*OFFSET(ORÇAMENTO!$W$15,ROW(AZ50)-ROW(AZ$15),0),15-13*ORÇAMENTO!$AF$11)),0)</f>
        <v>0</v>
      </c>
      <c r="BA50" s="632">
        <f ca="1">IF(AND($D50="Serviço",BA$12&lt;&gt;0,$H50&gt;0,OR(AUTOEVENTO&lt;&gt;"manual",$M50&lt;&gt;1)),
IF(Import.TipoArredondamento&lt;&gt;"TransfereGOV",
ROUND(OFFSET($P50,0,BA$13),15-13*ORÇAMENTO!$AF$7)/$H50*OFFSET(ORÇAMENTO!$X$15,ROW(BA50)-ROW(BA$15),0),
ROUND(ROUND(OFFSET($P50,0,BA$13),15-13*ORÇAMENTO!$AF$7)*OFFSET(ORÇAMENTO!$W$15,ROW(BA50)-ROW(BA$15),0),15-13*ORÇAMENTO!$AF$11)),0)</f>
        <v>0</v>
      </c>
      <c r="BC50" s="216">
        <f ca="1">IF($D50&lt;&gt;"Serviço",0,IF(AND(AUTOEVENTO="Manual",$M50=1),0,IF(OFFSET(CRONOPLE!$F$14,$M50,BC$13)="",10^12,OFFSET(CRONOPLE!$F$14,$M50,BC$13))))</f>
        <v>1000000000000</v>
      </c>
      <c r="BD50" s="216">
        <f ca="1">IF($D50&lt;&gt;"Serviço",0,IF(AND(AUTOEVENTO="Manual",$M50=1),0,IF(OFFSET(CRONOPLE!$F$14,$M50,BD$13)="",10^12,OFFSET(CRONOPLE!$F$14,$M50,BD$13))))</f>
        <v>1000000000000</v>
      </c>
      <c r="BE50" s="216">
        <f ca="1">IF($D50&lt;&gt;"Serviço",0,IF(AND(AUTOEVENTO="Manual",$M50=1),0,IF(OFFSET(CRONOPLE!$F$14,$M50,BE$13)="",10^12,OFFSET(CRONOPLE!$F$14,$M50,BE$13))))</f>
        <v>1000000000000</v>
      </c>
      <c r="BF50" s="216">
        <f ca="1">IF($D50&lt;&gt;"Serviço",0,IF(AND(AUTOEVENTO="Manual",$M50=1),0,IF(OFFSET(CRONOPLE!$F$14,$M50,BF$13)="",10^12,OFFSET(CRONOPLE!$F$14,$M50,BF$13))))</f>
        <v>1000000000000</v>
      </c>
      <c r="BG50" s="216">
        <f ca="1">IF($D50&lt;&gt;"Serviço",0,IF(AND(AUTOEVENTO="Manual",$M50=1),0,IF(OFFSET(CRONOPLE!$F$14,$M50,BG$13)="",10^12,OFFSET(CRONOPLE!$F$14,$M50,BG$13))))</f>
        <v>1000000000000</v>
      </c>
      <c r="BH50" s="216">
        <f ca="1">IF($D50&lt;&gt;"Serviço",0,IF(AND(AUTOEVENTO="Manual",$M50=1),0,IF(OFFSET(CRONOPLE!$F$14,$M50,BH$13)="",10^12,OFFSET(CRONOPLE!$F$14,$M50,BH$13))))</f>
        <v>3</v>
      </c>
      <c r="BI50" s="216">
        <f ca="1">IF($D50&lt;&gt;"Serviço",0,IF(AND(AUTOEVENTO="Manual",$M50=1),0,IF(OFFSET(CRONOPLE!$F$14,$M50,BI$13)="",10^12,OFFSET(CRONOPLE!$F$14,$M50,BI$13))))</f>
        <v>1000000000000</v>
      </c>
      <c r="BJ50" s="216">
        <f ca="1">IF($D50&lt;&gt;"Serviço",0,IF(AND(AUTOEVENTO="Manual",$M50=1),0,IF(OFFSET(CRONOPLE!$F$14,$M50,BJ$13)="",10^12,OFFSET(CRONOPLE!$F$14,$M50,BJ$13))))</f>
        <v>1000000000000</v>
      </c>
      <c r="BK50" s="216">
        <f ca="1">IF($D50&lt;&gt;"Serviço",0,IF(AND(AUTOEVENTO="Manual",$M50=1),0,IF(OFFSET(CRONOPLE!$F$14,$M50,BK$13)="",10^12,OFFSET(CRONOPLE!$F$14,$M50,BK$13))))</f>
        <v>1000000000000</v>
      </c>
      <c r="BL50" s="216">
        <f ca="1">IF($D50&lt;&gt;"Serviço",0,IF(AND(AUTOEVENTO="Manual",$M50=1),0,IF(OFFSET(CRONOPLE!$F$14,$M50,BL$13)="",10^12,OFFSET(CRONOPLE!$F$14,$M50,BL$13))))</f>
        <v>1000000000000</v>
      </c>
      <c r="BM50" s="216">
        <f ca="1">IF($D50&lt;&gt;"Serviço",0,IF(AND(AUTOEVENTO="Manual",$M50=1),0,IF(OFFSET(CRONOPLE!$F$14,$M50,BM$13)="",10^12,OFFSET(CRONOPLE!$F$14,$M50,BM$13))))</f>
        <v>1000000000000</v>
      </c>
      <c r="BN50" s="216">
        <f ca="1">IF($D50&lt;&gt;"Serviço",0,IF(AND(AUTOEVENTO="Manual",$M50=1),0,IF(OFFSET(CRONOPLE!$F$14,$M50,BN$13)="",10^12,OFFSET(CRONOPLE!$F$14,$M50,BN$13))))</f>
        <v>1000000000000</v>
      </c>
      <c r="BO50" s="216">
        <f ca="1">IF($D50&lt;&gt;"Serviço",0,IF(AND(AUTOEVENTO="Manual",$M50=1),0,IF(OFFSET(CRONOPLE!$F$14,$M50,BO$13)="",10^12,OFFSET(CRONOPLE!$F$14,$M50,BO$13))))</f>
        <v>1000000000000</v>
      </c>
      <c r="BP50" s="216">
        <f ca="1">IF($D50&lt;&gt;"Serviço",0,IF(AND(AUTOEVENTO="Manual",$M50=1),0,IF(OFFSET(CRONOPLE!$F$14,$M50,BP$13)="",10^12,OFFSET(CRONOPLE!$F$14,$M50,BP$13))))</f>
        <v>1000000000000</v>
      </c>
      <c r="BQ50" s="216">
        <f ca="1">IF($D50&lt;&gt;"Serviço",0,IF(AND(AUTOEVENTO="Manual",$M50=1),0,IF(OFFSET(CRONOPLE!$F$14,$M50,BQ$13)="",10^12,OFFSET(CRONOPLE!$F$14,$M50,BQ$13))))</f>
        <v>1000000000000</v>
      </c>
      <c r="BR50" s="216">
        <f ca="1">IF($D50&lt;&gt;"Serviço",0,IF(AND(AUTOEVENTO="Manual",$M50=1),0,IF(OFFSET(CRONOPLE!$F$14,$M50,BR$13)="",10^12,OFFSET(CRONOPLE!$F$14,$M50,BR$13))))</f>
        <v>1000000000000</v>
      </c>
      <c r="BS50" s="216">
        <f ca="1">IF($D50&lt;&gt;"Serviço",0,IF(AND(AUTOEVENTO="Manual",$M50=1),0,IF(OFFSET(CRONOPLE!$F$14,$M50,BS$13)="",10^12,OFFSET(CRONOPLE!$F$14,$M50,BS$13))))</f>
        <v>1000000000000</v>
      </c>
      <c r="BT50" s="216">
        <f ca="1">IF($D50&lt;&gt;"Serviço",0,IF(AND(AUTOEVENTO="Manual",$M50=1),0,IF(OFFSET(CRONOPLE!$F$14,$M50,BT$13)="",10^12,OFFSET(CRONOPLE!$F$14,$M50,BT$13))))</f>
        <v>1000000000000</v>
      </c>
      <c r="BV50" s="217">
        <f ca="1">IF($D50&lt;&gt;"Serviço",0,IF(OR(AND(AUTOEVENTO="Manual",$M50=1),$M50&gt;(ROW(PLE.lastrow)-ROW(PLE.firstrow))),0,IF(OFFSET(PLE!$G$14,$M50,BV$13)="",10^12,OFFSET(PLE!$G$14,$M50,BV$13))))</f>
        <v>1000000000000</v>
      </c>
      <c r="BW50" s="217">
        <f ca="1">IF($D50&lt;&gt;"Serviço",0,IF(OR(AND(AUTOEVENTO="Manual",$M50=1),$M50&gt;(ROW(PLE.lastrow)-ROW(PLE.firstrow))),0,IF(OFFSET(PLE!$G$14,$M50,BW$13)="",10^12,OFFSET(PLE!$G$14,$M50,BW$13))))</f>
        <v>1000000000000</v>
      </c>
      <c r="BX50" s="217">
        <f ca="1">IF($D50&lt;&gt;"Serviço",0,IF(OR(AND(AUTOEVENTO="Manual",$M50=1),$M50&gt;(ROW(PLE.lastrow)-ROW(PLE.firstrow))),0,IF(OFFSET(PLE!$G$14,$M50,BX$13)="",10^12,OFFSET(PLE!$G$14,$M50,BX$13))))</f>
        <v>1000000000000</v>
      </c>
      <c r="BY50" s="217">
        <f ca="1">IF($D50&lt;&gt;"Serviço",0,IF(OR(AND(AUTOEVENTO="Manual",$M50=1),$M50&gt;(ROW(PLE.lastrow)-ROW(PLE.firstrow))),0,IF(OFFSET(PLE!$G$14,$M50,BY$13)="",10^12,OFFSET(PLE!$G$14,$M50,BY$13))))</f>
        <v>1000000000000</v>
      </c>
      <c r="BZ50" s="217">
        <f ca="1">IF($D50&lt;&gt;"Serviço",0,IF(OR(AND(AUTOEVENTO="Manual",$M50=1),$M50&gt;(ROW(PLE.lastrow)-ROW(PLE.firstrow))),0,IF(OFFSET(PLE!$G$14,$M50,BZ$13)="",10^12,OFFSET(PLE!$G$14,$M50,BZ$13))))</f>
        <v>1000000000000</v>
      </c>
      <c r="CA50" s="217">
        <f ca="1">IF($D50&lt;&gt;"Serviço",0,IF(OR(AND(AUTOEVENTO="Manual",$M50=1),$M50&gt;(ROW(PLE.lastrow)-ROW(PLE.firstrow))),0,IF(OFFSET(PLE!$G$14,$M50,CA$13)="",10^12,OFFSET(PLE!$G$14,$M50,CA$13))))</f>
        <v>1000000000000</v>
      </c>
      <c r="CB50" s="217">
        <f ca="1">IF($D50&lt;&gt;"Serviço",0,IF(OR(AND(AUTOEVENTO="Manual",$M50=1),$M50&gt;(ROW(PLE.lastrow)-ROW(PLE.firstrow))),0,IF(OFFSET(PLE!$G$14,$M50,CB$13)="",10^12,OFFSET(PLE!$G$14,$M50,CB$13))))</f>
        <v>1000000000000</v>
      </c>
      <c r="CC50" s="217">
        <f ca="1">IF($D50&lt;&gt;"Serviço",0,IF(OR(AND(AUTOEVENTO="Manual",$M50=1),$M50&gt;(ROW(PLE.lastrow)-ROW(PLE.firstrow))),0,IF(OFFSET(PLE!$G$14,$M50,CC$13)="",10^12,OFFSET(PLE!$G$14,$M50,CC$13))))</f>
        <v>1000000000000</v>
      </c>
      <c r="CD50" s="217">
        <f ca="1">IF($D50&lt;&gt;"Serviço",0,IF(OR(AND(AUTOEVENTO="Manual",$M50=1),$M50&gt;(ROW(PLE.lastrow)-ROW(PLE.firstrow))),0,IF(OFFSET(PLE!$G$14,$M50,CD$13)="",10^12,OFFSET(PLE!$G$14,$M50,CD$13))))</f>
        <v>1000000000000</v>
      </c>
      <c r="CE50" s="217">
        <f ca="1">IF($D50&lt;&gt;"Serviço",0,IF(OR(AND(AUTOEVENTO="Manual",$M50=1),$M50&gt;(ROW(PLE.lastrow)-ROW(PLE.firstrow))),0,IF(OFFSET(PLE!$G$14,$M50,CE$13)="",10^12,OFFSET(PLE!$G$14,$M50,CE$13))))</f>
        <v>1000000000000</v>
      </c>
      <c r="CF50" s="217">
        <f ca="1">IF($D50&lt;&gt;"Serviço",0,IF(OR(AND(AUTOEVENTO="Manual",$M50=1),$M50&gt;(ROW(PLE.lastrow)-ROW(PLE.firstrow))),0,IF(OFFSET(PLE!$G$14,$M50,CF$13)="",10^12,OFFSET(PLE!$G$14,$M50,CF$13))))</f>
        <v>1000000000000</v>
      </c>
      <c r="CG50" s="217">
        <f ca="1">IF($D50&lt;&gt;"Serviço",0,IF(OR(AND(AUTOEVENTO="Manual",$M50=1),$M50&gt;(ROW(PLE.lastrow)-ROW(PLE.firstrow))),0,IF(OFFSET(PLE!$G$14,$M50,CG$13)="",10^12,OFFSET(PLE!$G$14,$M50,CG$13))))</f>
        <v>1000000000000</v>
      </c>
      <c r="CH50" s="217">
        <f ca="1">IF($D50&lt;&gt;"Serviço",0,IF(OR(AND(AUTOEVENTO="Manual",$M50=1),$M50&gt;(ROW(PLE.lastrow)-ROW(PLE.firstrow))),0,IF(OFFSET(PLE!$G$14,$M50,CH$13)="",10^12,OFFSET(PLE!$G$14,$M50,CH$13))))</f>
        <v>1000000000000</v>
      </c>
      <c r="CI50" s="217">
        <f ca="1">IF($D50&lt;&gt;"Serviço",0,IF(OR(AND(AUTOEVENTO="Manual",$M50=1),$M50&gt;(ROW(PLE.lastrow)-ROW(PLE.firstrow))),0,IF(OFFSET(PLE!$G$14,$M50,CI$13)="",10^12,OFFSET(PLE!$G$14,$M50,CI$13))))</f>
        <v>1000000000000</v>
      </c>
      <c r="CJ50" s="217">
        <f ca="1">IF($D50&lt;&gt;"Serviço",0,IF(OR(AND(AUTOEVENTO="Manual",$M50=1),$M50&gt;(ROW(PLE.lastrow)-ROW(PLE.firstrow))),0,IF(OFFSET(PLE!$G$14,$M50,CJ$13)="",10^12,OFFSET(PLE!$G$14,$M50,CJ$13))))</f>
        <v>1000000000000</v>
      </c>
      <c r="CK50" s="217">
        <f ca="1">IF($D50&lt;&gt;"Serviço",0,IF(OR(AND(AUTOEVENTO="Manual",$M50=1),$M50&gt;(ROW(PLE.lastrow)-ROW(PLE.firstrow))),0,IF(OFFSET(PLE!$G$14,$M50,CK$13)="",10^12,OFFSET(PLE!$G$14,$M50,CK$13))))</f>
        <v>1000000000000</v>
      </c>
      <c r="CL50" s="217">
        <f ca="1">IF($D50&lt;&gt;"Serviço",0,IF(OR(AND(AUTOEVENTO="Manual",$M50=1),$M50&gt;(ROW(PLE.lastrow)-ROW(PLE.firstrow))),0,IF(OFFSET(PLE!$G$14,$M50,CL$13)="",10^12,OFFSET(PLE!$G$14,$M50,CL$13))))</f>
        <v>1000000000000</v>
      </c>
      <c r="CM50" s="217">
        <f ca="1">IF($D50&lt;&gt;"Serviço",0,IF(OR(AND(AUTOEVENTO="Manual",$M50=1),$M50&gt;(ROW(PLE.lastrow)-ROW(PLE.firstrow))),0,IF(OFFSET(PLE!$G$14,$M50,CM$13)="",10^12,OFFSET(PLE!$G$14,$M50,CM$13))))</f>
        <v>1000000000000</v>
      </c>
    </row>
    <row r="51" spans="1:91" ht="25.5" x14ac:dyDescent="0.2">
      <c r="A51" s="9" t="str">
        <f t="shared" ca="1" si="9"/>
        <v>34</v>
      </c>
      <c r="B51" s="9" t="str">
        <f ca="1">OFFSET(ORÇAMENTO!C$15,ROW(B51)-ROW(B$15),0)</f>
        <v>S</v>
      </c>
      <c r="C51" s="9" t="str">
        <f ca="1">OFFSET(ORÇAMENTO!L$15,ROW(C51)-ROW(C$15),0)</f>
        <v/>
      </c>
      <c r="D51" s="146" t="str">
        <f ca="1">OFFSET(ORÇAMENTO!N$15,ROW(D51)-ROW(D$15),0)</f>
        <v>Serviço</v>
      </c>
      <c r="E51" s="206" t="str">
        <f ca="1">OFFSET(ORÇAMENTO!O$15,ROW(E51)-ROW(E$15),0)</f>
        <v>-</v>
      </c>
      <c r="F51" s="207" t="str">
        <f ca="1">OFFSET(ORÇAMENTO!R$15,ROW(F51)-ROW(F$15),0)</f>
        <v>(abra o arquivo 'Referência 12-2023.xlsm)</v>
      </c>
      <c r="G51" s="208" t="str">
        <f ca="1">IF($D51&lt;&gt;"Serviço","",OFFSET(ORÇAMENTO!S$15,ROW(G51)-ROW(G$15),0))</f>
        <v>-</v>
      </c>
      <c r="H51" s="152">
        <f ca="1">IF($D51&lt;&gt;"Serviço",0,IF(ACOMPANHAMENTO="BM",ROUND(OFFSET(ORÇAMENTO!AJ$15,ROW(H51)-ROW(H$15),0),15-13*ORÇAMENTO!$AF$7),SUMPRODUCT(($Q$12:$AI$12&lt;&gt;"")*ROUND($Q51:$AI51,15-13*ORÇAMENTO!$AF$7))))</f>
        <v>785.15</v>
      </c>
      <c r="I51" s="649" t="s">
        <v>504</v>
      </c>
      <c r="K51" s="209"/>
      <c r="L51" s="210" t="s">
        <v>255</v>
      </c>
      <c r="M51" s="211">
        <f ca="1">IF($D51&lt;&gt;"Serviço","",IF(AUTOEVENTO="manual",$A51,IF(ISERROR(MATCH($A51,$A$15:OFFSET($A51,-1,0),0)),MAX($M$15:OFFSET(M51,-1,0))+1,INDEX($M$15:OFFSET(M51,-1,0),MATCH($A51,$A$15:OFFSET($A51,-1,0),0)))))</f>
        <v>9</v>
      </c>
      <c r="N51" s="212" t="str">
        <f ca="1">IF($D51&lt;&gt;"Serviço","",IF(AUTOEVENTO="Manual",IF($A51=0,"&lt;-- defina o número do agrupador",OFFSET(EVENTOS!$D$14,$A51,0)),OFFSET($F$15,$A51,0)))</f>
        <v xml:space="preserve">DRENAGEM </v>
      </c>
      <c r="O51" s="213"/>
      <c r="Q51" s="213"/>
      <c r="R51" s="214"/>
      <c r="S51" s="214"/>
      <c r="T51" s="214"/>
      <c r="U51" s="214"/>
      <c r="V51" s="214">
        <v>785.15</v>
      </c>
      <c r="W51" s="214"/>
      <c r="X51" s="214"/>
      <c r="Y51" s="214"/>
      <c r="Z51" s="215"/>
      <c r="AA51" s="214"/>
      <c r="AB51" s="214"/>
      <c r="AC51" s="214"/>
      <c r="AD51" s="214"/>
      <c r="AE51" s="214"/>
      <c r="AF51" s="214"/>
      <c r="AG51" s="214"/>
      <c r="AH51" s="215"/>
      <c r="AJ51" s="630">
        <f ca="1">IF(AND($D51="Serviço",AJ$12&lt;&gt;0,$H51&gt;0,OR(AUTOEVENTO&lt;&gt;"manual",$M51&lt;&gt;1)),
IF(Import.TipoArredondamento&lt;&gt;"TransfereGOV",
ROUND(OFFSET($P51,0,AJ$13),15-13*ORÇAMENTO!$AF$7)/$H51*OFFSET(ORÇAMENTO!$X$15,ROW(AJ51)-ROW(AJ$15),0),
ROUND(ROUND(OFFSET($P51,0,AJ$13),15-13*ORÇAMENTO!$AF$7)*OFFSET(ORÇAMENTO!$W$15,ROW(AJ51)-ROW(AJ$15),0),15-13*ORÇAMENTO!$AF$11)),0)</f>
        <v>0</v>
      </c>
      <c r="AK51" s="631">
        <f ca="1">IF(AND($D51="Serviço",AK$12&lt;&gt;0,$H51&gt;0,OR(AUTOEVENTO&lt;&gt;"manual",$M51&lt;&gt;1)),
IF(Import.TipoArredondamento&lt;&gt;"TransfereGOV",
ROUND(OFFSET($P51,0,AK$13),15-13*ORÇAMENTO!$AF$7)/$H51*OFFSET(ORÇAMENTO!$X$15,ROW(AK51)-ROW(AK$15),0),
ROUND(ROUND(OFFSET($P51,0,AK$13),15-13*ORÇAMENTO!$AF$7)*OFFSET(ORÇAMENTO!$W$15,ROW(AK51)-ROW(AK$15),0),15-13*ORÇAMENTO!$AF$11)),0)</f>
        <v>0</v>
      </c>
      <c r="AL51" s="631">
        <f ca="1">IF(AND($D51="Serviço",AL$12&lt;&gt;0,$H51&gt;0,OR(AUTOEVENTO&lt;&gt;"manual",$M51&lt;&gt;1)),
IF(Import.TipoArredondamento&lt;&gt;"TransfereGOV",
ROUND(OFFSET($P51,0,AL$13),15-13*ORÇAMENTO!$AF$7)/$H51*OFFSET(ORÇAMENTO!$X$15,ROW(AL51)-ROW(AL$15),0),
ROUND(ROUND(OFFSET($P51,0,AL$13),15-13*ORÇAMENTO!$AF$7)*OFFSET(ORÇAMENTO!$W$15,ROW(AL51)-ROW(AL$15),0),15-13*ORÇAMENTO!$AF$11)),0)</f>
        <v>0</v>
      </c>
      <c r="AM51" s="631">
        <f ca="1">IF(AND($D51="Serviço",AM$12&lt;&gt;0,$H51&gt;0,OR(AUTOEVENTO&lt;&gt;"manual",$M51&lt;&gt;1)),
IF(Import.TipoArredondamento&lt;&gt;"TransfereGOV",
ROUND(OFFSET($P51,0,AM$13),15-13*ORÇAMENTO!$AF$7)/$H51*OFFSET(ORÇAMENTO!$X$15,ROW(AM51)-ROW(AM$15),0),
ROUND(ROUND(OFFSET($P51,0,AM$13),15-13*ORÇAMENTO!$AF$7)*OFFSET(ORÇAMENTO!$W$15,ROW(AM51)-ROW(AM$15),0),15-13*ORÇAMENTO!$AF$11)),0)</f>
        <v>0</v>
      </c>
      <c r="AN51" s="631">
        <f ca="1">IF(AND($D51="Serviço",AN$12&lt;&gt;0,$H51&gt;0,OR(AUTOEVENTO&lt;&gt;"manual",$M51&lt;&gt;1)),
IF(Import.TipoArredondamento&lt;&gt;"TransfereGOV",
ROUND(OFFSET($P51,0,AN$13),15-13*ORÇAMENTO!$AF$7)/$H51*OFFSET(ORÇAMENTO!$X$15,ROW(AN51)-ROW(AN$15),0),
ROUND(ROUND(OFFSET($P51,0,AN$13),15-13*ORÇAMENTO!$AF$7)*OFFSET(ORÇAMENTO!$W$15,ROW(AN51)-ROW(AN$15),0),15-13*ORÇAMENTO!$AF$11)),0)</f>
        <v>0</v>
      </c>
      <c r="AO51" s="631">
        <f ca="1">IF(AND($D51="Serviço",AO$12&lt;&gt;0,$H51&gt;0,OR(AUTOEVENTO&lt;&gt;"manual",$M51&lt;&gt;1)),
IF(Import.TipoArredondamento&lt;&gt;"TransfereGOV",
ROUND(OFFSET($P51,0,AO$13),15-13*ORÇAMENTO!$AF$7)/$H51*OFFSET(ORÇAMENTO!$X$15,ROW(AO51)-ROW(AO$15),0),
ROUND(ROUND(OFFSET($P51,0,AO$13),15-13*ORÇAMENTO!$AF$7)*OFFSET(ORÇAMENTO!$W$15,ROW(AO51)-ROW(AO$15),0),15-13*ORÇAMENTO!$AF$11)),0)</f>
        <v>0</v>
      </c>
      <c r="AP51" s="631">
        <f ca="1">IF(AND($D51="Serviço",AP$12&lt;&gt;0,$H51&gt;0,OR(AUTOEVENTO&lt;&gt;"manual",$M51&lt;&gt;1)),
IF(Import.TipoArredondamento&lt;&gt;"TransfereGOV",
ROUND(OFFSET($P51,0,AP$13),15-13*ORÇAMENTO!$AF$7)/$H51*OFFSET(ORÇAMENTO!$X$15,ROW(AP51)-ROW(AP$15),0),
ROUND(ROUND(OFFSET($P51,0,AP$13),15-13*ORÇAMENTO!$AF$7)*OFFSET(ORÇAMENTO!$W$15,ROW(AP51)-ROW(AP$15),0),15-13*ORÇAMENTO!$AF$11)),0)</f>
        <v>0</v>
      </c>
      <c r="AQ51" s="631">
        <f ca="1">IF(AND($D51="Serviço",AQ$12&lt;&gt;0,$H51&gt;0,OR(AUTOEVENTO&lt;&gt;"manual",$M51&lt;&gt;1)),
IF(Import.TipoArredondamento&lt;&gt;"TransfereGOV",
ROUND(OFFSET($P51,0,AQ$13),15-13*ORÇAMENTO!$AF$7)/$H51*OFFSET(ORÇAMENTO!$X$15,ROW(AQ51)-ROW(AQ$15),0),
ROUND(ROUND(OFFSET($P51,0,AQ$13),15-13*ORÇAMENTO!$AF$7)*OFFSET(ORÇAMENTO!$W$15,ROW(AQ51)-ROW(AQ$15),0),15-13*ORÇAMENTO!$AF$11)),0)</f>
        <v>0</v>
      </c>
      <c r="AR51" s="631">
        <f ca="1">IF(AND($D51="Serviço",AR$12&lt;&gt;0,$H51&gt;0,OR(AUTOEVENTO&lt;&gt;"manual",$M51&lt;&gt;1)),
IF(Import.TipoArredondamento&lt;&gt;"TransfereGOV",
ROUND(OFFSET($P51,0,AR$13),15-13*ORÇAMENTO!$AF$7)/$H51*OFFSET(ORÇAMENTO!$X$15,ROW(AR51)-ROW(AR$15),0),
ROUND(ROUND(OFFSET($P51,0,AR$13),15-13*ORÇAMENTO!$AF$7)*OFFSET(ORÇAMENTO!$W$15,ROW(AR51)-ROW(AR$15),0),15-13*ORÇAMENTO!$AF$11)),0)</f>
        <v>0</v>
      </c>
      <c r="AS51" s="632">
        <f ca="1">IF(AND($D51="Serviço",AS$12&lt;&gt;0,$H51&gt;0,OR(AUTOEVENTO&lt;&gt;"manual",$M51&lt;&gt;1)),
IF(Import.TipoArredondamento&lt;&gt;"TransfereGOV",
ROUND(OFFSET($P51,0,AS$13),15-13*ORÇAMENTO!$AF$7)/$H51*OFFSET(ORÇAMENTO!$X$15,ROW(AS51)-ROW(AS$15),0),
ROUND(ROUND(OFFSET($P51,0,AS$13),15-13*ORÇAMENTO!$AF$7)*OFFSET(ORÇAMENTO!$W$15,ROW(AS51)-ROW(AS$15),0),15-13*ORÇAMENTO!$AF$11)),0)</f>
        <v>0</v>
      </c>
      <c r="AT51" s="631">
        <f ca="1">IF(AND($D51="Serviço",AT$12&lt;&gt;0,$H51&gt;0,OR(AUTOEVENTO&lt;&gt;"manual",$M51&lt;&gt;1)),
IF(Import.TipoArredondamento&lt;&gt;"TransfereGOV",
ROUND(OFFSET($P51,0,AT$13),15-13*ORÇAMENTO!$AF$7)/$H51*OFFSET(ORÇAMENTO!$X$15,ROW(AT51)-ROW(AT$15),0),
ROUND(ROUND(OFFSET($P51,0,AT$13),15-13*ORÇAMENTO!$AF$7)*OFFSET(ORÇAMENTO!$W$15,ROW(AT51)-ROW(AT$15),0),15-13*ORÇAMENTO!$AF$11)),0)</f>
        <v>0</v>
      </c>
      <c r="AU51" s="631">
        <f ca="1">IF(AND($D51="Serviço",AU$12&lt;&gt;0,$H51&gt;0,OR(AUTOEVENTO&lt;&gt;"manual",$M51&lt;&gt;1)),
IF(Import.TipoArredondamento&lt;&gt;"TransfereGOV",
ROUND(OFFSET($P51,0,AU$13),15-13*ORÇAMENTO!$AF$7)/$H51*OFFSET(ORÇAMENTO!$X$15,ROW(AU51)-ROW(AU$15),0),
ROUND(ROUND(OFFSET($P51,0,AU$13),15-13*ORÇAMENTO!$AF$7)*OFFSET(ORÇAMENTO!$W$15,ROW(AU51)-ROW(AU$15),0),15-13*ORÇAMENTO!$AF$11)),0)</f>
        <v>0</v>
      </c>
      <c r="AV51" s="631">
        <f ca="1">IF(AND($D51="Serviço",AV$12&lt;&gt;0,$H51&gt;0,OR(AUTOEVENTO&lt;&gt;"manual",$M51&lt;&gt;1)),
IF(Import.TipoArredondamento&lt;&gt;"TransfereGOV",
ROUND(OFFSET($P51,0,AV$13),15-13*ORÇAMENTO!$AF$7)/$H51*OFFSET(ORÇAMENTO!$X$15,ROW(AV51)-ROW(AV$15),0),
ROUND(ROUND(OFFSET($P51,0,AV$13),15-13*ORÇAMENTO!$AF$7)*OFFSET(ORÇAMENTO!$W$15,ROW(AV51)-ROW(AV$15),0),15-13*ORÇAMENTO!$AF$11)),0)</f>
        <v>0</v>
      </c>
      <c r="AW51" s="631">
        <f ca="1">IF(AND($D51="Serviço",AW$12&lt;&gt;0,$H51&gt;0,OR(AUTOEVENTO&lt;&gt;"manual",$M51&lt;&gt;1)),
IF(Import.TipoArredondamento&lt;&gt;"TransfereGOV",
ROUND(OFFSET($P51,0,AW$13),15-13*ORÇAMENTO!$AF$7)/$H51*OFFSET(ORÇAMENTO!$X$15,ROW(AW51)-ROW(AW$15),0),
ROUND(ROUND(OFFSET($P51,0,AW$13),15-13*ORÇAMENTO!$AF$7)*OFFSET(ORÇAMENTO!$W$15,ROW(AW51)-ROW(AW$15),0),15-13*ORÇAMENTO!$AF$11)),0)</f>
        <v>0</v>
      </c>
      <c r="AX51" s="631">
        <f ca="1">IF(AND($D51="Serviço",AX$12&lt;&gt;0,$H51&gt;0,OR(AUTOEVENTO&lt;&gt;"manual",$M51&lt;&gt;1)),
IF(Import.TipoArredondamento&lt;&gt;"TransfereGOV",
ROUND(OFFSET($P51,0,AX$13),15-13*ORÇAMENTO!$AF$7)/$H51*OFFSET(ORÇAMENTO!$X$15,ROW(AX51)-ROW(AX$15),0),
ROUND(ROUND(OFFSET($P51,0,AX$13),15-13*ORÇAMENTO!$AF$7)*OFFSET(ORÇAMENTO!$W$15,ROW(AX51)-ROW(AX$15),0),15-13*ORÇAMENTO!$AF$11)),0)</f>
        <v>0</v>
      </c>
      <c r="AY51" s="631">
        <f ca="1">IF(AND($D51="Serviço",AY$12&lt;&gt;0,$H51&gt;0,OR(AUTOEVENTO&lt;&gt;"manual",$M51&lt;&gt;1)),
IF(Import.TipoArredondamento&lt;&gt;"TransfereGOV",
ROUND(OFFSET($P51,0,AY$13),15-13*ORÇAMENTO!$AF$7)/$H51*OFFSET(ORÇAMENTO!$X$15,ROW(AY51)-ROW(AY$15),0),
ROUND(ROUND(OFFSET($P51,0,AY$13),15-13*ORÇAMENTO!$AF$7)*OFFSET(ORÇAMENTO!$W$15,ROW(AY51)-ROW(AY$15),0),15-13*ORÇAMENTO!$AF$11)),0)</f>
        <v>0</v>
      </c>
      <c r="AZ51" s="631">
        <f ca="1">IF(AND($D51="Serviço",AZ$12&lt;&gt;0,$H51&gt;0,OR(AUTOEVENTO&lt;&gt;"manual",$M51&lt;&gt;1)),
IF(Import.TipoArredondamento&lt;&gt;"TransfereGOV",
ROUND(OFFSET($P51,0,AZ$13),15-13*ORÇAMENTO!$AF$7)/$H51*OFFSET(ORÇAMENTO!$X$15,ROW(AZ51)-ROW(AZ$15),0),
ROUND(ROUND(OFFSET($P51,0,AZ$13),15-13*ORÇAMENTO!$AF$7)*OFFSET(ORÇAMENTO!$W$15,ROW(AZ51)-ROW(AZ$15),0),15-13*ORÇAMENTO!$AF$11)),0)</f>
        <v>0</v>
      </c>
      <c r="BA51" s="632">
        <f ca="1">IF(AND($D51="Serviço",BA$12&lt;&gt;0,$H51&gt;0,OR(AUTOEVENTO&lt;&gt;"manual",$M51&lt;&gt;1)),
IF(Import.TipoArredondamento&lt;&gt;"TransfereGOV",
ROUND(OFFSET($P51,0,BA$13),15-13*ORÇAMENTO!$AF$7)/$H51*OFFSET(ORÇAMENTO!$X$15,ROW(BA51)-ROW(BA$15),0),
ROUND(ROUND(OFFSET($P51,0,BA$13),15-13*ORÇAMENTO!$AF$7)*OFFSET(ORÇAMENTO!$W$15,ROW(BA51)-ROW(BA$15),0),15-13*ORÇAMENTO!$AF$11)),0)</f>
        <v>0</v>
      </c>
      <c r="BC51" s="216">
        <f ca="1">IF($D51&lt;&gt;"Serviço",0,IF(AND(AUTOEVENTO="Manual",$M51=1),0,IF(OFFSET(CRONOPLE!$F$14,$M51,BC$13)="",10^12,OFFSET(CRONOPLE!$F$14,$M51,BC$13))))</f>
        <v>1000000000000</v>
      </c>
      <c r="BD51" s="216">
        <f ca="1">IF($D51&lt;&gt;"Serviço",0,IF(AND(AUTOEVENTO="Manual",$M51=1),0,IF(OFFSET(CRONOPLE!$F$14,$M51,BD$13)="",10^12,OFFSET(CRONOPLE!$F$14,$M51,BD$13))))</f>
        <v>1000000000000</v>
      </c>
      <c r="BE51" s="216">
        <f ca="1">IF($D51&lt;&gt;"Serviço",0,IF(AND(AUTOEVENTO="Manual",$M51=1),0,IF(OFFSET(CRONOPLE!$F$14,$M51,BE$13)="",10^12,OFFSET(CRONOPLE!$F$14,$M51,BE$13))))</f>
        <v>1000000000000</v>
      </c>
      <c r="BF51" s="216">
        <f ca="1">IF($D51&lt;&gt;"Serviço",0,IF(AND(AUTOEVENTO="Manual",$M51=1),0,IF(OFFSET(CRONOPLE!$F$14,$M51,BF$13)="",10^12,OFFSET(CRONOPLE!$F$14,$M51,BF$13))))</f>
        <v>1000000000000</v>
      </c>
      <c r="BG51" s="216">
        <f ca="1">IF($D51&lt;&gt;"Serviço",0,IF(AND(AUTOEVENTO="Manual",$M51=1),0,IF(OFFSET(CRONOPLE!$F$14,$M51,BG$13)="",10^12,OFFSET(CRONOPLE!$F$14,$M51,BG$13))))</f>
        <v>1000000000000</v>
      </c>
      <c r="BH51" s="216">
        <f ca="1">IF($D51&lt;&gt;"Serviço",0,IF(AND(AUTOEVENTO="Manual",$M51=1),0,IF(OFFSET(CRONOPLE!$F$14,$M51,BH$13)="",10^12,OFFSET(CRONOPLE!$F$14,$M51,BH$13))))</f>
        <v>3</v>
      </c>
      <c r="BI51" s="216">
        <f ca="1">IF($D51&lt;&gt;"Serviço",0,IF(AND(AUTOEVENTO="Manual",$M51=1),0,IF(OFFSET(CRONOPLE!$F$14,$M51,BI$13)="",10^12,OFFSET(CRONOPLE!$F$14,$M51,BI$13))))</f>
        <v>1000000000000</v>
      </c>
      <c r="BJ51" s="216">
        <f ca="1">IF($D51&lt;&gt;"Serviço",0,IF(AND(AUTOEVENTO="Manual",$M51=1),0,IF(OFFSET(CRONOPLE!$F$14,$M51,BJ$13)="",10^12,OFFSET(CRONOPLE!$F$14,$M51,BJ$13))))</f>
        <v>1000000000000</v>
      </c>
      <c r="BK51" s="216">
        <f ca="1">IF($D51&lt;&gt;"Serviço",0,IF(AND(AUTOEVENTO="Manual",$M51=1),0,IF(OFFSET(CRONOPLE!$F$14,$M51,BK$13)="",10^12,OFFSET(CRONOPLE!$F$14,$M51,BK$13))))</f>
        <v>1000000000000</v>
      </c>
      <c r="BL51" s="216">
        <f ca="1">IF($D51&lt;&gt;"Serviço",0,IF(AND(AUTOEVENTO="Manual",$M51=1),0,IF(OFFSET(CRONOPLE!$F$14,$M51,BL$13)="",10^12,OFFSET(CRONOPLE!$F$14,$M51,BL$13))))</f>
        <v>1000000000000</v>
      </c>
      <c r="BM51" s="216">
        <f ca="1">IF($D51&lt;&gt;"Serviço",0,IF(AND(AUTOEVENTO="Manual",$M51=1),0,IF(OFFSET(CRONOPLE!$F$14,$M51,BM$13)="",10^12,OFFSET(CRONOPLE!$F$14,$M51,BM$13))))</f>
        <v>1000000000000</v>
      </c>
      <c r="BN51" s="216">
        <f ca="1">IF($D51&lt;&gt;"Serviço",0,IF(AND(AUTOEVENTO="Manual",$M51=1),0,IF(OFFSET(CRONOPLE!$F$14,$M51,BN$13)="",10^12,OFFSET(CRONOPLE!$F$14,$M51,BN$13))))</f>
        <v>1000000000000</v>
      </c>
      <c r="BO51" s="216">
        <f ca="1">IF($D51&lt;&gt;"Serviço",0,IF(AND(AUTOEVENTO="Manual",$M51=1),0,IF(OFFSET(CRONOPLE!$F$14,$M51,BO$13)="",10^12,OFFSET(CRONOPLE!$F$14,$M51,BO$13))))</f>
        <v>1000000000000</v>
      </c>
      <c r="BP51" s="216">
        <f ca="1">IF($D51&lt;&gt;"Serviço",0,IF(AND(AUTOEVENTO="Manual",$M51=1),0,IF(OFFSET(CRONOPLE!$F$14,$M51,BP$13)="",10^12,OFFSET(CRONOPLE!$F$14,$M51,BP$13))))</f>
        <v>1000000000000</v>
      </c>
      <c r="BQ51" s="216">
        <f ca="1">IF($D51&lt;&gt;"Serviço",0,IF(AND(AUTOEVENTO="Manual",$M51=1),0,IF(OFFSET(CRONOPLE!$F$14,$M51,BQ$13)="",10^12,OFFSET(CRONOPLE!$F$14,$M51,BQ$13))))</f>
        <v>1000000000000</v>
      </c>
      <c r="BR51" s="216">
        <f ca="1">IF($D51&lt;&gt;"Serviço",0,IF(AND(AUTOEVENTO="Manual",$M51=1),0,IF(OFFSET(CRONOPLE!$F$14,$M51,BR$13)="",10^12,OFFSET(CRONOPLE!$F$14,$M51,BR$13))))</f>
        <v>1000000000000</v>
      </c>
      <c r="BS51" s="216">
        <f ca="1">IF($D51&lt;&gt;"Serviço",0,IF(AND(AUTOEVENTO="Manual",$M51=1),0,IF(OFFSET(CRONOPLE!$F$14,$M51,BS$13)="",10^12,OFFSET(CRONOPLE!$F$14,$M51,BS$13))))</f>
        <v>1000000000000</v>
      </c>
      <c r="BT51" s="216">
        <f ca="1">IF($D51&lt;&gt;"Serviço",0,IF(AND(AUTOEVENTO="Manual",$M51=1),0,IF(OFFSET(CRONOPLE!$F$14,$M51,BT$13)="",10^12,OFFSET(CRONOPLE!$F$14,$M51,BT$13))))</f>
        <v>1000000000000</v>
      </c>
      <c r="BV51" s="217">
        <f ca="1">IF($D51&lt;&gt;"Serviço",0,IF(OR(AND(AUTOEVENTO="Manual",$M51=1),$M51&gt;(ROW(PLE.lastrow)-ROW(PLE.firstrow))),0,IF(OFFSET(PLE!$G$14,$M51,BV$13)="",10^12,OFFSET(PLE!$G$14,$M51,BV$13))))</f>
        <v>1000000000000</v>
      </c>
      <c r="BW51" s="217">
        <f ca="1">IF($D51&lt;&gt;"Serviço",0,IF(OR(AND(AUTOEVENTO="Manual",$M51=1),$M51&gt;(ROW(PLE.lastrow)-ROW(PLE.firstrow))),0,IF(OFFSET(PLE!$G$14,$M51,BW$13)="",10^12,OFFSET(PLE!$G$14,$M51,BW$13))))</f>
        <v>1000000000000</v>
      </c>
      <c r="BX51" s="217">
        <f ca="1">IF($D51&lt;&gt;"Serviço",0,IF(OR(AND(AUTOEVENTO="Manual",$M51=1),$M51&gt;(ROW(PLE.lastrow)-ROW(PLE.firstrow))),0,IF(OFFSET(PLE!$G$14,$M51,BX$13)="",10^12,OFFSET(PLE!$G$14,$M51,BX$13))))</f>
        <v>1000000000000</v>
      </c>
      <c r="BY51" s="217">
        <f ca="1">IF($D51&lt;&gt;"Serviço",0,IF(OR(AND(AUTOEVENTO="Manual",$M51=1),$M51&gt;(ROW(PLE.lastrow)-ROW(PLE.firstrow))),0,IF(OFFSET(PLE!$G$14,$M51,BY$13)="",10^12,OFFSET(PLE!$G$14,$M51,BY$13))))</f>
        <v>1000000000000</v>
      </c>
      <c r="BZ51" s="217">
        <f ca="1">IF($D51&lt;&gt;"Serviço",0,IF(OR(AND(AUTOEVENTO="Manual",$M51=1),$M51&gt;(ROW(PLE.lastrow)-ROW(PLE.firstrow))),0,IF(OFFSET(PLE!$G$14,$M51,BZ$13)="",10^12,OFFSET(PLE!$G$14,$M51,BZ$13))))</f>
        <v>1000000000000</v>
      </c>
      <c r="CA51" s="217">
        <f ca="1">IF($D51&lt;&gt;"Serviço",0,IF(OR(AND(AUTOEVENTO="Manual",$M51=1),$M51&gt;(ROW(PLE.lastrow)-ROW(PLE.firstrow))),0,IF(OFFSET(PLE!$G$14,$M51,CA$13)="",10^12,OFFSET(PLE!$G$14,$M51,CA$13))))</f>
        <v>1000000000000</v>
      </c>
      <c r="CB51" s="217">
        <f ca="1">IF($D51&lt;&gt;"Serviço",0,IF(OR(AND(AUTOEVENTO="Manual",$M51=1),$M51&gt;(ROW(PLE.lastrow)-ROW(PLE.firstrow))),0,IF(OFFSET(PLE!$G$14,$M51,CB$13)="",10^12,OFFSET(PLE!$G$14,$M51,CB$13))))</f>
        <v>1000000000000</v>
      </c>
      <c r="CC51" s="217">
        <f ca="1">IF($D51&lt;&gt;"Serviço",0,IF(OR(AND(AUTOEVENTO="Manual",$M51=1),$M51&gt;(ROW(PLE.lastrow)-ROW(PLE.firstrow))),0,IF(OFFSET(PLE!$G$14,$M51,CC$13)="",10^12,OFFSET(PLE!$G$14,$M51,CC$13))))</f>
        <v>1000000000000</v>
      </c>
      <c r="CD51" s="217">
        <f ca="1">IF($D51&lt;&gt;"Serviço",0,IF(OR(AND(AUTOEVENTO="Manual",$M51=1),$M51&gt;(ROW(PLE.lastrow)-ROW(PLE.firstrow))),0,IF(OFFSET(PLE!$G$14,$M51,CD$13)="",10^12,OFFSET(PLE!$G$14,$M51,CD$13))))</f>
        <v>1000000000000</v>
      </c>
      <c r="CE51" s="217">
        <f ca="1">IF($D51&lt;&gt;"Serviço",0,IF(OR(AND(AUTOEVENTO="Manual",$M51=1),$M51&gt;(ROW(PLE.lastrow)-ROW(PLE.firstrow))),0,IF(OFFSET(PLE!$G$14,$M51,CE$13)="",10^12,OFFSET(PLE!$G$14,$M51,CE$13))))</f>
        <v>1000000000000</v>
      </c>
      <c r="CF51" s="217">
        <f ca="1">IF($D51&lt;&gt;"Serviço",0,IF(OR(AND(AUTOEVENTO="Manual",$M51=1),$M51&gt;(ROW(PLE.lastrow)-ROW(PLE.firstrow))),0,IF(OFFSET(PLE!$G$14,$M51,CF$13)="",10^12,OFFSET(PLE!$G$14,$M51,CF$13))))</f>
        <v>1000000000000</v>
      </c>
      <c r="CG51" s="217">
        <f ca="1">IF($D51&lt;&gt;"Serviço",0,IF(OR(AND(AUTOEVENTO="Manual",$M51=1),$M51&gt;(ROW(PLE.lastrow)-ROW(PLE.firstrow))),0,IF(OFFSET(PLE!$G$14,$M51,CG$13)="",10^12,OFFSET(PLE!$G$14,$M51,CG$13))))</f>
        <v>1000000000000</v>
      </c>
      <c r="CH51" s="217">
        <f ca="1">IF($D51&lt;&gt;"Serviço",0,IF(OR(AND(AUTOEVENTO="Manual",$M51=1),$M51&gt;(ROW(PLE.lastrow)-ROW(PLE.firstrow))),0,IF(OFFSET(PLE!$G$14,$M51,CH$13)="",10^12,OFFSET(PLE!$G$14,$M51,CH$13))))</f>
        <v>1000000000000</v>
      </c>
      <c r="CI51" s="217">
        <f ca="1">IF($D51&lt;&gt;"Serviço",0,IF(OR(AND(AUTOEVENTO="Manual",$M51=1),$M51&gt;(ROW(PLE.lastrow)-ROW(PLE.firstrow))),0,IF(OFFSET(PLE!$G$14,$M51,CI$13)="",10^12,OFFSET(PLE!$G$14,$M51,CI$13))))</f>
        <v>1000000000000</v>
      </c>
      <c r="CJ51" s="217">
        <f ca="1">IF($D51&lt;&gt;"Serviço",0,IF(OR(AND(AUTOEVENTO="Manual",$M51=1),$M51&gt;(ROW(PLE.lastrow)-ROW(PLE.firstrow))),0,IF(OFFSET(PLE!$G$14,$M51,CJ$13)="",10^12,OFFSET(PLE!$G$14,$M51,CJ$13))))</f>
        <v>1000000000000</v>
      </c>
      <c r="CK51" s="217">
        <f ca="1">IF($D51&lt;&gt;"Serviço",0,IF(OR(AND(AUTOEVENTO="Manual",$M51=1),$M51&gt;(ROW(PLE.lastrow)-ROW(PLE.firstrow))),0,IF(OFFSET(PLE!$G$14,$M51,CK$13)="",10^12,OFFSET(PLE!$G$14,$M51,CK$13))))</f>
        <v>1000000000000</v>
      </c>
      <c r="CL51" s="217">
        <f ca="1">IF($D51&lt;&gt;"Serviço",0,IF(OR(AND(AUTOEVENTO="Manual",$M51=1),$M51&gt;(ROW(PLE.lastrow)-ROW(PLE.firstrow))),0,IF(OFFSET(PLE!$G$14,$M51,CL$13)="",10^12,OFFSET(PLE!$G$14,$M51,CL$13))))</f>
        <v>1000000000000</v>
      </c>
      <c r="CM51" s="217">
        <f ca="1">IF($D51&lt;&gt;"Serviço",0,IF(OR(AND(AUTOEVENTO="Manual",$M51=1),$M51&gt;(ROW(PLE.lastrow)-ROW(PLE.firstrow))),0,IF(OFFSET(PLE!$G$14,$M51,CM$13)="",10^12,OFFSET(PLE!$G$14,$M51,CM$13))))</f>
        <v>1000000000000</v>
      </c>
    </row>
    <row r="52" spans="1:91" ht="25.5" x14ac:dyDescent="0.2">
      <c r="A52" s="9" t="str">
        <f t="shared" ca="1" si="9"/>
        <v>34</v>
      </c>
      <c r="B52" s="9" t="str">
        <f ca="1">OFFSET(ORÇAMENTO!C$15,ROW(B52)-ROW(B$15),0)</f>
        <v>S</v>
      </c>
      <c r="C52" s="9" t="str">
        <f ca="1">OFFSET(ORÇAMENTO!L$15,ROW(C52)-ROW(C$15),0)</f>
        <v/>
      </c>
      <c r="D52" s="146" t="str">
        <f ca="1">OFFSET(ORÇAMENTO!N$15,ROW(D52)-ROW(D$15),0)</f>
        <v>Serviço</v>
      </c>
      <c r="E52" s="206" t="str">
        <f ca="1">OFFSET(ORÇAMENTO!O$15,ROW(E52)-ROW(E$15),0)</f>
        <v>-</v>
      </c>
      <c r="F52" s="207" t="str">
        <f ca="1">OFFSET(ORÇAMENTO!R$15,ROW(F52)-ROW(F$15),0)</f>
        <v>(abra o arquivo 'Referência 12-2023.xlsm)</v>
      </c>
      <c r="G52" s="208" t="str">
        <f ca="1">IF($D52&lt;&gt;"Serviço","",OFFSET(ORÇAMENTO!S$15,ROW(G52)-ROW(G$15),0))</f>
        <v>-</v>
      </c>
      <c r="H52" s="152">
        <f ca="1">IF($D52&lt;&gt;"Serviço",0,IF(ACOMPANHAMENTO="BM",ROUND(OFFSET(ORÇAMENTO!AJ$15,ROW(H52)-ROW(H$15),0),15-13*ORÇAMENTO!$AF$7),SUMPRODUCT(($Q$12:$AI$12&lt;&gt;"")*ROUND($Q52:$AI52,15-13*ORÇAMENTO!$AF$7))))</f>
        <v>942.18</v>
      </c>
      <c r="I52" s="649" t="s">
        <v>504</v>
      </c>
      <c r="K52" s="209"/>
      <c r="L52" s="210" t="s">
        <v>255</v>
      </c>
      <c r="M52" s="211">
        <f ca="1">IF($D52&lt;&gt;"Serviço","",IF(AUTOEVENTO="manual",$A52,IF(ISERROR(MATCH($A52,$A$15:OFFSET($A52,-1,0),0)),MAX($M$15:OFFSET(M52,-1,0))+1,INDEX($M$15:OFFSET(M52,-1,0),MATCH($A52,$A$15:OFFSET($A52,-1,0),0)))))</f>
        <v>9</v>
      </c>
      <c r="N52" s="212" t="str">
        <f ca="1">IF($D52&lt;&gt;"Serviço","",IF(AUTOEVENTO="Manual",IF($A52=0,"&lt;-- defina o número do agrupador",OFFSET(EVENTOS!$D$14,$A52,0)),OFFSET($F$15,$A52,0)))</f>
        <v xml:space="preserve">DRENAGEM </v>
      </c>
      <c r="O52" s="213"/>
      <c r="Q52" s="213"/>
      <c r="R52" s="214"/>
      <c r="S52" s="214"/>
      <c r="T52" s="214"/>
      <c r="U52" s="214"/>
      <c r="V52" s="214">
        <v>942.18</v>
      </c>
      <c r="W52" s="214"/>
      <c r="X52" s="214"/>
      <c r="Y52" s="214"/>
      <c r="Z52" s="215"/>
      <c r="AA52" s="214"/>
      <c r="AB52" s="214"/>
      <c r="AC52" s="214"/>
      <c r="AD52" s="214"/>
      <c r="AE52" s="214"/>
      <c r="AF52" s="214"/>
      <c r="AG52" s="214"/>
      <c r="AH52" s="215"/>
      <c r="AJ52" s="630">
        <f ca="1">IF(AND($D52="Serviço",AJ$12&lt;&gt;0,$H52&gt;0,OR(AUTOEVENTO&lt;&gt;"manual",$M52&lt;&gt;1)),
IF(Import.TipoArredondamento&lt;&gt;"TransfereGOV",
ROUND(OFFSET($P52,0,AJ$13),15-13*ORÇAMENTO!$AF$7)/$H52*OFFSET(ORÇAMENTO!$X$15,ROW(AJ52)-ROW(AJ$15),0),
ROUND(ROUND(OFFSET($P52,0,AJ$13),15-13*ORÇAMENTO!$AF$7)*OFFSET(ORÇAMENTO!$W$15,ROW(AJ52)-ROW(AJ$15),0),15-13*ORÇAMENTO!$AF$11)),0)</f>
        <v>0</v>
      </c>
      <c r="AK52" s="631">
        <f ca="1">IF(AND($D52="Serviço",AK$12&lt;&gt;0,$H52&gt;0,OR(AUTOEVENTO&lt;&gt;"manual",$M52&lt;&gt;1)),
IF(Import.TipoArredondamento&lt;&gt;"TransfereGOV",
ROUND(OFFSET($P52,0,AK$13),15-13*ORÇAMENTO!$AF$7)/$H52*OFFSET(ORÇAMENTO!$X$15,ROW(AK52)-ROW(AK$15),0),
ROUND(ROUND(OFFSET($P52,0,AK$13),15-13*ORÇAMENTO!$AF$7)*OFFSET(ORÇAMENTO!$W$15,ROW(AK52)-ROW(AK$15),0),15-13*ORÇAMENTO!$AF$11)),0)</f>
        <v>0</v>
      </c>
      <c r="AL52" s="631">
        <f ca="1">IF(AND($D52="Serviço",AL$12&lt;&gt;0,$H52&gt;0,OR(AUTOEVENTO&lt;&gt;"manual",$M52&lt;&gt;1)),
IF(Import.TipoArredondamento&lt;&gt;"TransfereGOV",
ROUND(OFFSET($P52,0,AL$13),15-13*ORÇAMENTO!$AF$7)/$H52*OFFSET(ORÇAMENTO!$X$15,ROW(AL52)-ROW(AL$15),0),
ROUND(ROUND(OFFSET($P52,0,AL$13),15-13*ORÇAMENTO!$AF$7)*OFFSET(ORÇAMENTO!$W$15,ROW(AL52)-ROW(AL$15),0),15-13*ORÇAMENTO!$AF$11)),0)</f>
        <v>0</v>
      </c>
      <c r="AM52" s="631">
        <f ca="1">IF(AND($D52="Serviço",AM$12&lt;&gt;0,$H52&gt;0,OR(AUTOEVENTO&lt;&gt;"manual",$M52&lt;&gt;1)),
IF(Import.TipoArredondamento&lt;&gt;"TransfereGOV",
ROUND(OFFSET($P52,0,AM$13),15-13*ORÇAMENTO!$AF$7)/$H52*OFFSET(ORÇAMENTO!$X$15,ROW(AM52)-ROW(AM$15),0),
ROUND(ROUND(OFFSET($P52,0,AM$13),15-13*ORÇAMENTO!$AF$7)*OFFSET(ORÇAMENTO!$W$15,ROW(AM52)-ROW(AM$15),0),15-13*ORÇAMENTO!$AF$11)),0)</f>
        <v>0</v>
      </c>
      <c r="AN52" s="631">
        <f ca="1">IF(AND($D52="Serviço",AN$12&lt;&gt;0,$H52&gt;0,OR(AUTOEVENTO&lt;&gt;"manual",$M52&lt;&gt;1)),
IF(Import.TipoArredondamento&lt;&gt;"TransfereGOV",
ROUND(OFFSET($P52,0,AN$13),15-13*ORÇAMENTO!$AF$7)/$H52*OFFSET(ORÇAMENTO!$X$15,ROW(AN52)-ROW(AN$15),0),
ROUND(ROUND(OFFSET($P52,0,AN$13),15-13*ORÇAMENTO!$AF$7)*OFFSET(ORÇAMENTO!$W$15,ROW(AN52)-ROW(AN$15),0),15-13*ORÇAMENTO!$AF$11)),0)</f>
        <v>0</v>
      </c>
      <c r="AO52" s="631">
        <f ca="1">IF(AND($D52="Serviço",AO$12&lt;&gt;0,$H52&gt;0,OR(AUTOEVENTO&lt;&gt;"manual",$M52&lt;&gt;1)),
IF(Import.TipoArredondamento&lt;&gt;"TransfereGOV",
ROUND(OFFSET($P52,0,AO$13),15-13*ORÇAMENTO!$AF$7)/$H52*OFFSET(ORÇAMENTO!$X$15,ROW(AO52)-ROW(AO$15),0),
ROUND(ROUND(OFFSET($P52,0,AO$13),15-13*ORÇAMENTO!$AF$7)*OFFSET(ORÇAMENTO!$W$15,ROW(AO52)-ROW(AO$15),0),15-13*ORÇAMENTO!$AF$11)),0)</f>
        <v>0</v>
      </c>
      <c r="AP52" s="631">
        <f ca="1">IF(AND($D52="Serviço",AP$12&lt;&gt;0,$H52&gt;0,OR(AUTOEVENTO&lt;&gt;"manual",$M52&lt;&gt;1)),
IF(Import.TipoArredondamento&lt;&gt;"TransfereGOV",
ROUND(OFFSET($P52,0,AP$13),15-13*ORÇAMENTO!$AF$7)/$H52*OFFSET(ORÇAMENTO!$X$15,ROW(AP52)-ROW(AP$15),0),
ROUND(ROUND(OFFSET($P52,0,AP$13),15-13*ORÇAMENTO!$AF$7)*OFFSET(ORÇAMENTO!$W$15,ROW(AP52)-ROW(AP$15),0),15-13*ORÇAMENTO!$AF$11)),0)</f>
        <v>0</v>
      </c>
      <c r="AQ52" s="631">
        <f ca="1">IF(AND($D52="Serviço",AQ$12&lt;&gt;0,$H52&gt;0,OR(AUTOEVENTO&lt;&gt;"manual",$M52&lt;&gt;1)),
IF(Import.TipoArredondamento&lt;&gt;"TransfereGOV",
ROUND(OFFSET($P52,0,AQ$13),15-13*ORÇAMENTO!$AF$7)/$H52*OFFSET(ORÇAMENTO!$X$15,ROW(AQ52)-ROW(AQ$15),0),
ROUND(ROUND(OFFSET($P52,0,AQ$13),15-13*ORÇAMENTO!$AF$7)*OFFSET(ORÇAMENTO!$W$15,ROW(AQ52)-ROW(AQ$15),0),15-13*ORÇAMENTO!$AF$11)),0)</f>
        <v>0</v>
      </c>
      <c r="AR52" s="631">
        <f ca="1">IF(AND($D52="Serviço",AR$12&lt;&gt;0,$H52&gt;0,OR(AUTOEVENTO&lt;&gt;"manual",$M52&lt;&gt;1)),
IF(Import.TipoArredondamento&lt;&gt;"TransfereGOV",
ROUND(OFFSET($P52,0,AR$13),15-13*ORÇAMENTO!$AF$7)/$H52*OFFSET(ORÇAMENTO!$X$15,ROW(AR52)-ROW(AR$15),0),
ROUND(ROUND(OFFSET($P52,0,AR$13),15-13*ORÇAMENTO!$AF$7)*OFFSET(ORÇAMENTO!$W$15,ROW(AR52)-ROW(AR$15),0),15-13*ORÇAMENTO!$AF$11)),0)</f>
        <v>0</v>
      </c>
      <c r="AS52" s="632">
        <f ca="1">IF(AND($D52="Serviço",AS$12&lt;&gt;0,$H52&gt;0,OR(AUTOEVENTO&lt;&gt;"manual",$M52&lt;&gt;1)),
IF(Import.TipoArredondamento&lt;&gt;"TransfereGOV",
ROUND(OFFSET($P52,0,AS$13),15-13*ORÇAMENTO!$AF$7)/$H52*OFFSET(ORÇAMENTO!$X$15,ROW(AS52)-ROW(AS$15),0),
ROUND(ROUND(OFFSET($P52,0,AS$13),15-13*ORÇAMENTO!$AF$7)*OFFSET(ORÇAMENTO!$W$15,ROW(AS52)-ROW(AS$15),0),15-13*ORÇAMENTO!$AF$11)),0)</f>
        <v>0</v>
      </c>
      <c r="AT52" s="631">
        <f ca="1">IF(AND($D52="Serviço",AT$12&lt;&gt;0,$H52&gt;0,OR(AUTOEVENTO&lt;&gt;"manual",$M52&lt;&gt;1)),
IF(Import.TipoArredondamento&lt;&gt;"TransfereGOV",
ROUND(OFFSET($P52,0,AT$13),15-13*ORÇAMENTO!$AF$7)/$H52*OFFSET(ORÇAMENTO!$X$15,ROW(AT52)-ROW(AT$15),0),
ROUND(ROUND(OFFSET($P52,0,AT$13),15-13*ORÇAMENTO!$AF$7)*OFFSET(ORÇAMENTO!$W$15,ROW(AT52)-ROW(AT$15),0),15-13*ORÇAMENTO!$AF$11)),0)</f>
        <v>0</v>
      </c>
      <c r="AU52" s="631">
        <f ca="1">IF(AND($D52="Serviço",AU$12&lt;&gt;0,$H52&gt;0,OR(AUTOEVENTO&lt;&gt;"manual",$M52&lt;&gt;1)),
IF(Import.TipoArredondamento&lt;&gt;"TransfereGOV",
ROUND(OFFSET($P52,0,AU$13),15-13*ORÇAMENTO!$AF$7)/$H52*OFFSET(ORÇAMENTO!$X$15,ROW(AU52)-ROW(AU$15),0),
ROUND(ROUND(OFFSET($P52,0,AU$13),15-13*ORÇAMENTO!$AF$7)*OFFSET(ORÇAMENTO!$W$15,ROW(AU52)-ROW(AU$15),0),15-13*ORÇAMENTO!$AF$11)),0)</f>
        <v>0</v>
      </c>
      <c r="AV52" s="631">
        <f ca="1">IF(AND($D52="Serviço",AV$12&lt;&gt;0,$H52&gt;0,OR(AUTOEVENTO&lt;&gt;"manual",$M52&lt;&gt;1)),
IF(Import.TipoArredondamento&lt;&gt;"TransfereGOV",
ROUND(OFFSET($P52,0,AV$13),15-13*ORÇAMENTO!$AF$7)/$H52*OFFSET(ORÇAMENTO!$X$15,ROW(AV52)-ROW(AV$15),0),
ROUND(ROUND(OFFSET($P52,0,AV$13),15-13*ORÇAMENTO!$AF$7)*OFFSET(ORÇAMENTO!$W$15,ROW(AV52)-ROW(AV$15),0),15-13*ORÇAMENTO!$AF$11)),0)</f>
        <v>0</v>
      </c>
      <c r="AW52" s="631">
        <f ca="1">IF(AND($D52="Serviço",AW$12&lt;&gt;0,$H52&gt;0,OR(AUTOEVENTO&lt;&gt;"manual",$M52&lt;&gt;1)),
IF(Import.TipoArredondamento&lt;&gt;"TransfereGOV",
ROUND(OFFSET($P52,0,AW$13),15-13*ORÇAMENTO!$AF$7)/$H52*OFFSET(ORÇAMENTO!$X$15,ROW(AW52)-ROW(AW$15),0),
ROUND(ROUND(OFFSET($P52,0,AW$13),15-13*ORÇAMENTO!$AF$7)*OFFSET(ORÇAMENTO!$W$15,ROW(AW52)-ROW(AW$15),0),15-13*ORÇAMENTO!$AF$11)),0)</f>
        <v>0</v>
      </c>
      <c r="AX52" s="631">
        <f ca="1">IF(AND($D52="Serviço",AX$12&lt;&gt;0,$H52&gt;0,OR(AUTOEVENTO&lt;&gt;"manual",$M52&lt;&gt;1)),
IF(Import.TipoArredondamento&lt;&gt;"TransfereGOV",
ROUND(OFFSET($P52,0,AX$13),15-13*ORÇAMENTO!$AF$7)/$H52*OFFSET(ORÇAMENTO!$X$15,ROW(AX52)-ROW(AX$15),0),
ROUND(ROUND(OFFSET($P52,0,AX$13),15-13*ORÇAMENTO!$AF$7)*OFFSET(ORÇAMENTO!$W$15,ROW(AX52)-ROW(AX$15),0),15-13*ORÇAMENTO!$AF$11)),0)</f>
        <v>0</v>
      </c>
      <c r="AY52" s="631">
        <f ca="1">IF(AND($D52="Serviço",AY$12&lt;&gt;0,$H52&gt;0,OR(AUTOEVENTO&lt;&gt;"manual",$M52&lt;&gt;1)),
IF(Import.TipoArredondamento&lt;&gt;"TransfereGOV",
ROUND(OFFSET($P52,0,AY$13),15-13*ORÇAMENTO!$AF$7)/$H52*OFFSET(ORÇAMENTO!$X$15,ROW(AY52)-ROW(AY$15),0),
ROUND(ROUND(OFFSET($P52,0,AY$13),15-13*ORÇAMENTO!$AF$7)*OFFSET(ORÇAMENTO!$W$15,ROW(AY52)-ROW(AY$15),0),15-13*ORÇAMENTO!$AF$11)),0)</f>
        <v>0</v>
      </c>
      <c r="AZ52" s="631">
        <f ca="1">IF(AND($D52="Serviço",AZ$12&lt;&gt;0,$H52&gt;0,OR(AUTOEVENTO&lt;&gt;"manual",$M52&lt;&gt;1)),
IF(Import.TipoArredondamento&lt;&gt;"TransfereGOV",
ROUND(OFFSET($P52,0,AZ$13),15-13*ORÇAMENTO!$AF$7)/$H52*OFFSET(ORÇAMENTO!$X$15,ROW(AZ52)-ROW(AZ$15),0),
ROUND(ROUND(OFFSET($P52,0,AZ$13),15-13*ORÇAMENTO!$AF$7)*OFFSET(ORÇAMENTO!$W$15,ROW(AZ52)-ROW(AZ$15),0),15-13*ORÇAMENTO!$AF$11)),0)</f>
        <v>0</v>
      </c>
      <c r="BA52" s="632">
        <f ca="1">IF(AND($D52="Serviço",BA$12&lt;&gt;0,$H52&gt;0,OR(AUTOEVENTO&lt;&gt;"manual",$M52&lt;&gt;1)),
IF(Import.TipoArredondamento&lt;&gt;"TransfereGOV",
ROUND(OFFSET($P52,0,BA$13),15-13*ORÇAMENTO!$AF$7)/$H52*OFFSET(ORÇAMENTO!$X$15,ROW(BA52)-ROW(BA$15),0),
ROUND(ROUND(OFFSET($P52,0,BA$13),15-13*ORÇAMENTO!$AF$7)*OFFSET(ORÇAMENTO!$W$15,ROW(BA52)-ROW(BA$15),0),15-13*ORÇAMENTO!$AF$11)),0)</f>
        <v>0</v>
      </c>
      <c r="BC52" s="216">
        <f ca="1">IF($D52&lt;&gt;"Serviço",0,IF(AND(AUTOEVENTO="Manual",$M52=1),0,IF(OFFSET(CRONOPLE!$F$14,$M52,BC$13)="",10^12,OFFSET(CRONOPLE!$F$14,$M52,BC$13))))</f>
        <v>1000000000000</v>
      </c>
      <c r="BD52" s="216">
        <f ca="1">IF($D52&lt;&gt;"Serviço",0,IF(AND(AUTOEVENTO="Manual",$M52=1),0,IF(OFFSET(CRONOPLE!$F$14,$M52,BD$13)="",10^12,OFFSET(CRONOPLE!$F$14,$M52,BD$13))))</f>
        <v>1000000000000</v>
      </c>
      <c r="BE52" s="216">
        <f ca="1">IF($D52&lt;&gt;"Serviço",0,IF(AND(AUTOEVENTO="Manual",$M52=1),0,IF(OFFSET(CRONOPLE!$F$14,$M52,BE$13)="",10^12,OFFSET(CRONOPLE!$F$14,$M52,BE$13))))</f>
        <v>1000000000000</v>
      </c>
      <c r="BF52" s="216">
        <f ca="1">IF($D52&lt;&gt;"Serviço",0,IF(AND(AUTOEVENTO="Manual",$M52=1),0,IF(OFFSET(CRONOPLE!$F$14,$M52,BF$13)="",10^12,OFFSET(CRONOPLE!$F$14,$M52,BF$13))))</f>
        <v>1000000000000</v>
      </c>
      <c r="BG52" s="216">
        <f ca="1">IF($D52&lt;&gt;"Serviço",0,IF(AND(AUTOEVENTO="Manual",$M52=1),0,IF(OFFSET(CRONOPLE!$F$14,$M52,BG$13)="",10^12,OFFSET(CRONOPLE!$F$14,$M52,BG$13))))</f>
        <v>1000000000000</v>
      </c>
      <c r="BH52" s="216">
        <f ca="1">IF($D52&lt;&gt;"Serviço",0,IF(AND(AUTOEVENTO="Manual",$M52=1),0,IF(OFFSET(CRONOPLE!$F$14,$M52,BH$13)="",10^12,OFFSET(CRONOPLE!$F$14,$M52,BH$13))))</f>
        <v>3</v>
      </c>
      <c r="BI52" s="216">
        <f ca="1">IF($D52&lt;&gt;"Serviço",0,IF(AND(AUTOEVENTO="Manual",$M52=1),0,IF(OFFSET(CRONOPLE!$F$14,$M52,BI$13)="",10^12,OFFSET(CRONOPLE!$F$14,$M52,BI$13))))</f>
        <v>1000000000000</v>
      </c>
      <c r="BJ52" s="216">
        <f ca="1">IF($D52&lt;&gt;"Serviço",0,IF(AND(AUTOEVENTO="Manual",$M52=1),0,IF(OFFSET(CRONOPLE!$F$14,$M52,BJ$13)="",10^12,OFFSET(CRONOPLE!$F$14,$M52,BJ$13))))</f>
        <v>1000000000000</v>
      </c>
      <c r="BK52" s="216">
        <f ca="1">IF($D52&lt;&gt;"Serviço",0,IF(AND(AUTOEVENTO="Manual",$M52=1),0,IF(OFFSET(CRONOPLE!$F$14,$M52,BK$13)="",10^12,OFFSET(CRONOPLE!$F$14,$M52,BK$13))))</f>
        <v>1000000000000</v>
      </c>
      <c r="BL52" s="216">
        <f ca="1">IF($D52&lt;&gt;"Serviço",0,IF(AND(AUTOEVENTO="Manual",$M52=1),0,IF(OFFSET(CRONOPLE!$F$14,$M52,BL$13)="",10^12,OFFSET(CRONOPLE!$F$14,$M52,BL$13))))</f>
        <v>1000000000000</v>
      </c>
      <c r="BM52" s="216">
        <f ca="1">IF($D52&lt;&gt;"Serviço",0,IF(AND(AUTOEVENTO="Manual",$M52=1),0,IF(OFFSET(CRONOPLE!$F$14,$M52,BM$13)="",10^12,OFFSET(CRONOPLE!$F$14,$M52,BM$13))))</f>
        <v>1000000000000</v>
      </c>
      <c r="BN52" s="216">
        <f ca="1">IF($D52&lt;&gt;"Serviço",0,IF(AND(AUTOEVENTO="Manual",$M52=1),0,IF(OFFSET(CRONOPLE!$F$14,$M52,BN$13)="",10^12,OFFSET(CRONOPLE!$F$14,$M52,BN$13))))</f>
        <v>1000000000000</v>
      </c>
      <c r="BO52" s="216">
        <f ca="1">IF($D52&lt;&gt;"Serviço",0,IF(AND(AUTOEVENTO="Manual",$M52=1),0,IF(OFFSET(CRONOPLE!$F$14,$M52,BO$13)="",10^12,OFFSET(CRONOPLE!$F$14,$M52,BO$13))))</f>
        <v>1000000000000</v>
      </c>
      <c r="BP52" s="216">
        <f ca="1">IF($D52&lt;&gt;"Serviço",0,IF(AND(AUTOEVENTO="Manual",$M52=1),0,IF(OFFSET(CRONOPLE!$F$14,$M52,BP$13)="",10^12,OFFSET(CRONOPLE!$F$14,$M52,BP$13))))</f>
        <v>1000000000000</v>
      </c>
      <c r="BQ52" s="216">
        <f ca="1">IF($D52&lt;&gt;"Serviço",0,IF(AND(AUTOEVENTO="Manual",$M52=1),0,IF(OFFSET(CRONOPLE!$F$14,$M52,BQ$13)="",10^12,OFFSET(CRONOPLE!$F$14,$M52,BQ$13))))</f>
        <v>1000000000000</v>
      </c>
      <c r="BR52" s="216">
        <f ca="1">IF($D52&lt;&gt;"Serviço",0,IF(AND(AUTOEVENTO="Manual",$M52=1),0,IF(OFFSET(CRONOPLE!$F$14,$M52,BR$13)="",10^12,OFFSET(CRONOPLE!$F$14,$M52,BR$13))))</f>
        <v>1000000000000</v>
      </c>
      <c r="BS52" s="216">
        <f ca="1">IF($D52&lt;&gt;"Serviço",0,IF(AND(AUTOEVENTO="Manual",$M52=1),0,IF(OFFSET(CRONOPLE!$F$14,$M52,BS$13)="",10^12,OFFSET(CRONOPLE!$F$14,$M52,BS$13))))</f>
        <v>1000000000000</v>
      </c>
      <c r="BT52" s="216">
        <f ca="1">IF($D52&lt;&gt;"Serviço",0,IF(AND(AUTOEVENTO="Manual",$M52=1),0,IF(OFFSET(CRONOPLE!$F$14,$M52,BT$13)="",10^12,OFFSET(CRONOPLE!$F$14,$M52,BT$13))))</f>
        <v>1000000000000</v>
      </c>
      <c r="BV52" s="217">
        <f ca="1">IF($D52&lt;&gt;"Serviço",0,IF(OR(AND(AUTOEVENTO="Manual",$M52=1),$M52&gt;(ROW(PLE.lastrow)-ROW(PLE.firstrow))),0,IF(OFFSET(PLE!$G$14,$M52,BV$13)="",10^12,OFFSET(PLE!$G$14,$M52,BV$13))))</f>
        <v>1000000000000</v>
      </c>
      <c r="BW52" s="217">
        <f ca="1">IF($D52&lt;&gt;"Serviço",0,IF(OR(AND(AUTOEVENTO="Manual",$M52=1),$M52&gt;(ROW(PLE.lastrow)-ROW(PLE.firstrow))),0,IF(OFFSET(PLE!$G$14,$M52,BW$13)="",10^12,OFFSET(PLE!$G$14,$M52,BW$13))))</f>
        <v>1000000000000</v>
      </c>
      <c r="BX52" s="217">
        <f ca="1">IF($D52&lt;&gt;"Serviço",0,IF(OR(AND(AUTOEVENTO="Manual",$M52=1),$M52&gt;(ROW(PLE.lastrow)-ROW(PLE.firstrow))),0,IF(OFFSET(PLE!$G$14,$M52,BX$13)="",10^12,OFFSET(PLE!$G$14,$M52,BX$13))))</f>
        <v>1000000000000</v>
      </c>
      <c r="BY52" s="217">
        <f ca="1">IF($D52&lt;&gt;"Serviço",0,IF(OR(AND(AUTOEVENTO="Manual",$M52=1),$M52&gt;(ROW(PLE.lastrow)-ROW(PLE.firstrow))),0,IF(OFFSET(PLE!$G$14,$M52,BY$13)="",10^12,OFFSET(PLE!$G$14,$M52,BY$13))))</f>
        <v>1000000000000</v>
      </c>
      <c r="BZ52" s="217">
        <f ca="1">IF($D52&lt;&gt;"Serviço",0,IF(OR(AND(AUTOEVENTO="Manual",$M52=1),$M52&gt;(ROW(PLE.lastrow)-ROW(PLE.firstrow))),0,IF(OFFSET(PLE!$G$14,$M52,BZ$13)="",10^12,OFFSET(PLE!$G$14,$M52,BZ$13))))</f>
        <v>1000000000000</v>
      </c>
      <c r="CA52" s="217">
        <f ca="1">IF($D52&lt;&gt;"Serviço",0,IF(OR(AND(AUTOEVENTO="Manual",$M52=1),$M52&gt;(ROW(PLE.lastrow)-ROW(PLE.firstrow))),0,IF(OFFSET(PLE!$G$14,$M52,CA$13)="",10^12,OFFSET(PLE!$G$14,$M52,CA$13))))</f>
        <v>1000000000000</v>
      </c>
      <c r="CB52" s="217">
        <f ca="1">IF($D52&lt;&gt;"Serviço",0,IF(OR(AND(AUTOEVENTO="Manual",$M52=1),$M52&gt;(ROW(PLE.lastrow)-ROW(PLE.firstrow))),0,IF(OFFSET(PLE!$G$14,$M52,CB$13)="",10^12,OFFSET(PLE!$G$14,$M52,CB$13))))</f>
        <v>1000000000000</v>
      </c>
      <c r="CC52" s="217">
        <f ca="1">IF($D52&lt;&gt;"Serviço",0,IF(OR(AND(AUTOEVENTO="Manual",$M52=1),$M52&gt;(ROW(PLE.lastrow)-ROW(PLE.firstrow))),0,IF(OFFSET(PLE!$G$14,$M52,CC$13)="",10^12,OFFSET(PLE!$G$14,$M52,CC$13))))</f>
        <v>1000000000000</v>
      </c>
      <c r="CD52" s="217">
        <f ca="1">IF($D52&lt;&gt;"Serviço",0,IF(OR(AND(AUTOEVENTO="Manual",$M52=1),$M52&gt;(ROW(PLE.lastrow)-ROW(PLE.firstrow))),0,IF(OFFSET(PLE!$G$14,$M52,CD$13)="",10^12,OFFSET(PLE!$G$14,$M52,CD$13))))</f>
        <v>1000000000000</v>
      </c>
      <c r="CE52" s="217">
        <f ca="1">IF($D52&lt;&gt;"Serviço",0,IF(OR(AND(AUTOEVENTO="Manual",$M52=1),$M52&gt;(ROW(PLE.lastrow)-ROW(PLE.firstrow))),0,IF(OFFSET(PLE!$G$14,$M52,CE$13)="",10^12,OFFSET(PLE!$G$14,$M52,CE$13))))</f>
        <v>1000000000000</v>
      </c>
      <c r="CF52" s="217">
        <f ca="1">IF($D52&lt;&gt;"Serviço",0,IF(OR(AND(AUTOEVENTO="Manual",$M52=1),$M52&gt;(ROW(PLE.lastrow)-ROW(PLE.firstrow))),0,IF(OFFSET(PLE!$G$14,$M52,CF$13)="",10^12,OFFSET(PLE!$G$14,$M52,CF$13))))</f>
        <v>1000000000000</v>
      </c>
      <c r="CG52" s="217">
        <f ca="1">IF($D52&lt;&gt;"Serviço",0,IF(OR(AND(AUTOEVENTO="Manual",$M52=1),$M52&gt;(ROW(PLE.lastrow)-ROW(PLE.firstrow))),0,IF(OFFSET(PLE!$G$14,$M52,CG$13)="",10^12,OFFSET(PLE!$G$14,$M52,CG$13))))</f>
        <v>1000000000000</v>
      </c>
      <c r="CH52" s="217">
        <f ca="1">IF($D52&lt;&gt;"Serviço",0,IF(OR(AND(AUTOEVENTO="Manual",$M52=1),$M52&gt;(ROW(PLE.lastrow)-ROW(PLE.firstrow))),0,IF(OFFSET(PLE!$G$14,$M52,CH$13)="",10^12,OFFSET(PLE!$G$14,$M52,CH$13))))</f>
        <v>1000000000000</v>
      </c>
      <c r="CI52" s="217">
        <f ca="1">IF($D52&lt;&gt;"Serviço",0,IF(OR(AND(AUTOEVENTO="Manual",$M52=1),$M52&gt;(ROW(PLE.lastrow)-ROW(PLE.firstrow))),0,IF(OFFSET(PLE!$G$14,$M52,CI$13)="",10^12,OFFSET(PLE!$G$14,$M52,CI$13))))</f>
        <v>1000000000000</v>
      </c>
      <c r="CJ52" s="217">
        <f ca="1">IF($D52&lt;&gt;"Serviço",0,IF(OR(AND(AUTOEVENTO="Manual",$M52=1),$M52&gt;(ROW(PLE.lastrow)-ROW(PLE.firstrow))),0,IF(OFFSET(PLE!$G$14,$M52,CJ$13)="",10^12,OFFSET(PLE!$G$14,$M52,CJ$13))))</f>
        <v>1000000000000</v>
      </c>
      <c r="CK52" s="217">
        <f ca="1">IF($D52&lt;&gt;"Serviço",0,IF(OR(AND(AUTOEVENTO="Manual",$M52=1),$M52&gt;(ROW(PLE.lastrow)-ROW(PLE.firstrow))),0,IF(OFFSET(PLE!$G$14,$M52,CK$13)="",10^12,OFFSET(PLE!$G$14,$M52,CK$13))))</f>
        <v>1000000000000</v>
      </c>
      <c r="CL52" s="217">
        <f ca="1">IF($D52&lt;&gt;"Serviço",0,IF(OR(AND(AUTOEVENTO="Manual",$M52=1),$M52&gt;(ROW(PLE.lastrow)-ROW(PLE.firstrow))),0,IF(OFFSET(PLE!$G$14,$M52,CL$13)="",10^12,OFFSET(PLE!$G$14,$M52,CL$13))))</f>
        <v>1000000000000</v>
      </c>
      <c r="CM52" s="217">
        <f ca="1">IF($D52&lt;&gt;"Serviço",0,IF(OR(AND(AUTOEVENTO="Manual",$M52=1),$M52&gt;(ROW(PLE.lastrow)-ROW(PLE.firstrow))),0,IF(OFFSET(PLE!$G$14,$M52,CM$13)="",10^12,OFFSET(PLE!$G$14,$M52,CM$13))))</f>
        <v>1000000000000</v>
      </c>
    </row>
    <row r="53" spans="1:91" ht="25.5" x14ac:dyDescent="0.2">
      <c r="A53" s="9" t="str">
        <f t="shared" ca="1" si="9"/>
        <v>34</v>
      </c>
      <c r="B53" s="9" t="str">
        <f ca="1">OFFSET(ORÇAMENTO!C$15,ROW(B53)-ROW(B$15),0)</f>
        <v>S</v>
      </c>
      <c r="C53" s="9" t="str">
        <f ca="1">OFFSET(ORÇAMENTO!L$15,ROW(C53)-ROW(C$15),0)</f>
        <v/>
      </c>
      <c r="D53" s="146" t="str">
        <f ca="1">OFFSET(ORÇAMENTO!N$15,ROW(D53)-ROW(D$15),0)</f>
        <v>Serviço</v>
      </c>
      <c r="E53" s="206" t="str">
        <f ca="1">OFFSET(ORÇAMENTO!O$15,ROW(E53)-ROW(E$15),0)</f>
        <v>-</v>
      </c>
      <c r="F53" s="207" t="str">
        <f ca="1">OFFSET(ORÇAMENTO!R$15,ROW(F53)-ROW(F$15),0)</f>
        <v>(abra o arquivo 'Referência 12-2023.xlsm)</v>
      </c>
      <c r="G53" s="208" t="str">
        <f ca="1">IF($D53&lt;&gt;"Serviço","",OFFSET(ORÇAMENTO!S$15,ROW(G53)-ROW(G$15),0))</f>
        <v>-</v>
      </c>
      <c r="H53" s="152">
        <f ca="1">IF($D53&lt;&gt;"Serviço",0,IF(ACOMPANHAMENTO="BM",ROUND(OFFSET(ORÇAMENTO!AJ$15,ROW(H53)-ROW(H$15),0),15-13*ORÇAMENTO!$AF$7),SUMPRODUCT(($Q$12:$AI$12&lt;&gt;"")*ROUND($Q53:$AI53,15-13*ORÇAMENTO!$AF$7))))</f>
        <v>989.29</v>
      </c>
      <c r="I53" s="649" t="s">
        <v>504</v>
      </c>
      <c r="K53" s="209"/>
      <c r="L53" s="210" t="s">
        <v>255</v>
      </c>
      <c r="M53" s="211">
        <f ca="1">IF($D53&lt;&gt;"Serviço","",IF(AUTOEVENTO="manual",$A53,IF(ISERROR(MATCH($A53,$A$15:OFFSET($A53,-1,0),0)),MAX($M$15:OFFSET(M53,-1,0))+1,INDEX($M$15:OFFSET(M53,-1,0),MATCH($A53,$A$15:OFFSET($A53,-1,0),0)))))</f>
        <v>9</v>
      </c>
      <c r="N53" s="212" t="str">
        <f ca="1">IF($D53&lt;&gt;"Serviço","",IF(AUTOEVENTO="Manual",IF($A53=0,"&lt;-- defina o número do agrupador",OFFSET(EVENTOS!$D$14,$A53,0)),OFFSET($F$15,$A53,0)))</f>
        <v xml:space="preserve">DRENAGEM </v>
      </c>
      <c r="O53" s="213"/>
      <c r="Q53" s="213"/>
      <c r="R53" s="214"/>
      <c r="S53" s="214"/>
      <c r="T53" s="214"/>
      <c r="U53" s="214"/>
      <c r="V53" s="214">
        <v>989.29</v>
      </c>
      <c r="W53" s="214"/>
      <c r="X53" s="214"/>
      <c r="Y53" s="214"/>
      <c r="Z53" s="215"/>
      <c r="AA53" s="214"/>
      <c r="AB53" s="214"/>
      <c r="AC53" s="214"/>
      <c r="AD53" s="214"/>
      <c r="AE53" s="214"/>
      <c r="AF53" s="214"/>
      <c r="AG53" s="214"/>
      <c r="AH53" s="215"/>
      <c r="AJ53" s="630">
        <f ca="1">IF(AND($D53="Serviço",AJ$12&lt;&gt;0,$H53&gt;0,OR(AUTOEVENTO&lt;&gt;"manual",$M53&lt;&gt;1)),
IF(Import.TipoArredondamento&lt;&gt;"TransfereGOV",
ROUND(OFFSET($P53,0,AJ$13),15-13*ORÇAMENTO!$AF$7)/$H53*OFFSET(ORÇAMENTO!$X$15,ROW(AJ53)-ROW(AJ$15),0),
ROUND(ROUND(OFFSET($P53,0,AJ$13),15-13*ORÇAMENTO!$AF$7)*OFFSET(ORÇAMENTO!$W$15,ROW(AJ53)-ROW(AJ$15),0),15-13*ORÇAMENTO!$AF$11)),0)</f>
        <v>0</v>
      </c>
      <c r="AK53" s="631">
        <f ca="1">IF(AND($D53="Serviço",AK$12&lt;&gt;0,$H53&gt;0,OR(AUTOEVENTO&lt;&gt;"manual",$M53&lt;&gt;1)),
IF(Import.TipoArredondamento&lt;&gt;"TransfereGOV",
ROUND(OFFSET($P53,0,AK$13),15-13*ORÇAMENTO!$AF$7)/$H53*OFFSET(ORÇAMENTO!$X$15,ROW(AK53)-ROW(AK$15),0),
ROUND(ROUND(OFFSET($P53,0,AK$13),15-13*ORÇAMENTO!$AF$7)*OFFSET(ORÇAMENTO!$W$15,ROW(AK53)-ROW(AK$15),0),15-13*ORÇAMENTO!$AF$11)),0)</f>
        <v>0</v>
      </c>
      <c r="AL53" s="631">
        <f ca="1">IF(AND($D53="Serviço",AL$12&lt;&gt;0,$H53&gt;0,OR(AUTOEVENTO&lt;&gt;"manual",$M53&lt;&gt;1)),
IF(Import.TipoArredondamento&lt;&gt;"TransfereGOV",
ROUND(OFFSET($P53,0,AL$13),15-13*ORÇAMENTO!$AF$7)/$H53*OFFSET(ORÇAMENTO!$X$15,ROW(AL53)-ROW(AL$15),0),
ROUND(ROUND(OFFSET($P53,0,AL$13),15-13*ORÇAMENTO!$AF$7)*OFFSET(ORÇAMENTO!$W$15,ROW(AL53)-ROW(AL$15),0),15-13*ORÇAMENTO!$AF$11)),0)</f>
        <v>0</v>
      </c>
      <c r="AM53" s="631">
        <f ca="1">IF(AND($D53="Serviço",AM$12&lt;&gt;0,$H53&gt;0,OR(AUTOEVENTO&lt;&gt;"manual",$M53&lt;&gt;1)),
IF(Import.TipoArredondamento&lt;&gt;"TransfereGOV",
ROUND(OFFSET($P53,0,AM$13),15-13*ORÇAMENTO!$AF$7)/$H53*OFFSET(ORÇAMENTO!$X$15,ROW(AM53)-ROW(AM$15),0),
ROUND(ROUND(OFFSET($P53,0,AM$13),15-13*ORÇAMENTO!$AF$7)*OFFSET(ORÇAMENTO!$W$15,ROW(AM53)-ROW(AM$15),0),15-13*ORÇAMENTO!$AF$11)),0)</f>
        <v>0</v>
      </c>
      <c r="AN53" s="631">
        <f ca="1">IF(AND($D53="Serviço",AN$12&lt;&gt;0,$H53&gt;0,OR(AUTOEVENTO&lt;&gt;"manual",$M53&lt;&gt;1)),
IF(Import.TipoArredondamento&lt;&gt;"TransfereGOV",
ROUND(OFFSET($P53,0,AN$13),15-13*ORÇAMENTO!$AF$7)/$H53*OFFSET(ORÇAMENTO!$X$15,ROW(AN53)-ROW(AN$15),0),
ROUND(ROUND(OFFSET($P53,0,AN$13),15-13*ORÇAMENTO!$AF$7)*OFFSET(ORÇAMENTO!$W$15,ROW(AN53)-ROW(AN$15),0),15-13*ORÇAMENTO!$AF$11)),0)</f>
        <v>0</v>
      </c>
      <c r="AO53" s="631">
        <f ca="1">IF(AND($D53="Serviço",AO$12&lt;&gt;0,$H53&gt;0,OR(AUTOEVENTO&lt;&gt;"manual",$M53&lt;&gt;1)),
IF(Import.TipoArredondamento&lt;&gt;"TransfereGOV",
ROUND(OFFSET($P53,0,AO$13),15-13*ORÇAMENTO!$AF$7)/$H53*OFFSET(ORÇAMENTO!$X$15,ROW(AO53)-ROW(AO$15),0),
ROUND(ROUND(OFFSET($P53,0,AO$13),15-13*ORÇAMENTO!$AF$7)*OFFSET(ORÇAMENTO!$W$15,ROW(AO53)-ROW(AO$15),0),15-13*ORÇAMENTO!$AF$11)),0)</f>
        <v>0</v>
      </c>
      <c r="AP53" s="631">
        <f ca="1">IF(AND($D53="Serviço",AP$12&lt;&gt;0,$H53&gt;0,OR(AUTOEVENTO&lt;&gt;"manual",$M53&lt;&gt;1)),
IF(Import.TipoArredondamento&lt;&gt;"TransfereGOV",
ROUND(OFFSET($P53,0,AP$13),15-13*ORÇAMENTO!$AF$7)/$H53*OFFSET(ORÇAMENTO!$X$15,ROW(AP53)-ROW(AP$15),0),
ROUND(ROUND(OFFSET($P53,0,AP$13),15-13*ORÇAMENTO!$AF$7)*OFFSET(ORÇAMENTO!$W$15,ROW(AP53)-ROW(AP$15),0),15-13*ORÇAMENTO!$AF$11)),0)</f>
        <v>0</v>
      </c>
      <c r="AQ53" s="631">
        <f ca="1">IF(AND($D53="Serviço",AQ$12&lt;&gt;0,$H53&gt;0,OR(AUTOEVENTO&lt;&gt;"manual",$M53&lt;&gt;1)),
IF(Import.TipoArredondamento&lt;&gt;"TransfereGOV",
ROUND(OFFSET($P53,0,AQ$13),15-13*ORÇAMENTO!$AF$7)/$H53*OFFSET(ORÇAMENTO!$X$15,ROW(AQ53)-ROW(AQ$15),0),
ROUND(ROUND(OFFSET($P53,0,AQ$13),15-13*ORÇAMENTO!$AF$7)*OFFSET(ORÇAMENTO!$W$15,ROW(AQ53)-ROW(AQ$15),0),15-13*ORÇAMENTO!$AF$11)),0)</f>
        <v>0</v>
      </c>
      <c r="AR53" s="631">
        <f ca="1">IF(AND($D53="Serviço",AR$12&lt;&gt;0,$H53&gt;0,OR(AUTOEVENTO&lt;&gt;"manual",$M53&lt;&gt;1)),
IF(Import.TipoArredondamento&lt;&gt;"TransfereGOV",
ROUND(OFFSET($P53,0,AR$13),15-13*ORÇAMENTO!$AF$7)/$H53*OFFSET(ORÇAMENTO!$X$15,ROW(AR53)-ROW(AR$15),0),
ROUND(ROUND(OFFSET($P53,0,AR$13),15-13*ORÇAMENTO!$AF$7)*OFFSET(ORÇAMENTO!$W$15,ROW(AR53)-ROW(AR$15),0),15-13*ORÇAMENTO!$AF$11)),0)</f>
        <v>0</v>
      </c>
      <c r="AS53" s="632">
        <f ca="1">IF(AND($D53="Serviço",AS$12&lt;&gt;0,$H53&gt;0,OR(AUTOEVENTO&lt;&gt;"manual",$M53&lt;&gt;1)),
IF(Import.TipoArredondamento&lt;&gt;"TransfereGOV",
ROUND(OFFSET($P53,0,AS$13),15-13*ORÇAMENTO!$AF$7)/$H53*OFFSET(ORÇAMENTO!$X$15,ROW(AS53)-ROW(AS$15),0),
ROUND(ROUND(OFFSET($P53,0,AS$13),15-13*ORÇAMENTO!$AF$7)*OFFSET(ORÇAMENTO!$W$15,ROW(AS53)-ROW(AS$15),0),15-13*ORÇAMENTO!$AF$11)),0)</f>
        <v>0</v>
      </c>
      <c r="AT53" s="631">
        <f ca="1">IF(AND($D53="Serviço",AT$12&lt;&gt;0,$H53&gt;0,OR(AUTOEVENTO&lt;&gt;"manual",$M53&lt;&gt;1)),
IF(Import.TipoArredondamento&lt;&gt;"TransfereGOV",
ROUND(OFFSET($P53,0,AT$13),15-13*ORÇAMENTO!$AF$7)/$H53*OFFSET(ORÇAMENTO!$X$15,ROW(AT53)-ROW(AT$15),0),
ROUND(ROUND(OFFSET($P53,0,AT$13),15-13*ORÇAMENTO!$AF$7)*OFFSET(ORÇAMENTO!$W$15,ROW(AT53)-ROW(AT$15),0),15-13*ORÇAMENTO!$AF$11)),0)</f>
        <v>0</v>
      </c>
      <c r="AU53" s="631">
        <f ca="1">IF(AND($D53="Serviço",AU$12&lt;&gt;0,$H53&gt;0,OR(AUTOEVENTO&lt;&gt;"manual",$M53&lt;&gt;1)),
IF(Import.TipoArredondamento&lt;&gt;"TransfereGOV",
ROUND(OFFSET($P53,0,AU$13),15-13*ORÇAMENTO!$AF$7)/$H53*OFFSET(ORÇAMENTO!$X$15,ROW(AU53)-ROW(AU$15),0),
ROUND(ROUND(OFFSET($P53,0,AU$13),15-13*ORÇAMENTO!$AF$7)*OFFSET(ORÇAMENTO!$W$15,ROW(AU53)-ROW(AU$15),0),15-13*ORÇAMENTO!$AF$11)),0)</f>
        <v>0</v>
      </c>
      <c r="AV53" s="631">
        <f ca="1">IF(AND($D53="Serviço",AV$12&lt;&gt;0,$H53&gt;0,OR(AUTOEVENTO&lt;&gt;"manual",$M53&lt;&gt;1)),
IF(Import.TipoArredondamento&lt;&gt;"TransfereGOV",
ROUND(OFFSET($P53,0,AV$13),15-13*ORÇAMENTO!$AF$7)/$H53*OFFSET(ORÇAMENTO!$X$15,ROW(AV53)-ROW(AV$15),0),
ROUND(ROUND(OFFSET($P53,0,AV$13),15-13*ORÇAMENTO!$AF$7)*OFFSET(ORÇAMENTO!$W$15,ROW(AV53)-ROW(AV$15),0),15-13*ORÇAMENTO!$AF$11)),0)</f>
        <v>0</v>
      </c>
      <c r="AW53" s="631">
        <f ca="1">IF(AND($D53="Serviço",AW$12&lt;&gt;0,$H53&gt;0,OR(AUTOEVENTO&lt;&gt;"manual",$M53&lt;&gt;1)),
IF(Import.TipoArredondamento&lt;&gt;"TransfereGOV",
ROUND(OFFSET($P53,0,AW$13),15-13*ORÇAMENTO!$AF$7)/$H53*OFFSET(ORÇAMENTO!$X$15,ROW(AW53)-ROW(AW$15),0),
ROUND(ROUND(OFFSET($P53,0,AW$13),15-13*ORÇAMENTO!$AF$7)*OFFSET(ORÇAMENTO!$W$15,ROW(AW53)-ROW(AW$15),0),15-13*ORÇAMENTO!$AF$11)),0)</f>
        <v>0</v>
      </c>
      <c r="AX53" s="631">
        <f ca="1">IF(AND($D53="Serviço",AX$12&lt;&gt;0,$H53&gt;0,OR(AUTOEVENTO&lt;&gt;"manual",$M53&lt;&gt;1)),
IF(Import.TipoArredondamento&lt;&gt;"TransfereGOV",
ROUND(OFFSET($P53,0,AX$13),15-13*ORÇAMENTO!$AF$7)/$H53*OFFSET(ORÇAMENTO!$X$15,ROW(AX53)-ROW(AX$15),0),
ROUND(ROUND(OFFSET($P53,0,AX$13),15-13*ORÇAMENTO!$AF$7)*OFFSET(ORÇAMENTO!$W$15,ROW(AX53)-ROW(AX$15),0),15-13*ORÇAMENTO!$AF$11)),0)</f>
        <v>0</v>
      </c>
      <c r="AY53" s="631">
        <f ca="1">IF(AND($D53="Serviço",AY$12&lt;&gt;0,$H53&gt;0,OR(AUTOEVENTO&lt;&gt;"manual",$M53&lt;&gt;1)),
IF(Import.TipoArredondamento&lt;&gt;"TransfereGOV",
ROUND(OFFSET($P53,0,AY$13),15-13*ORÇAMENTO!$AF$7)/$H53*OFFSET(ORÇAMENTO!$X$15,ROW(AY53)-ROW(AY$15),0),
ROUND(ROUND(OFFSET($P53,0,AY$13),15-13*ORÇAMENTO!$AF$7)*OFFSET(ORÇAMENTO!$W$15,ROW(AY53)-ROW(AY$15),0),15-13*ORÇAMENTO!$AF$11)),0)</f>
        <v>0</v>
      </c>
      <c r="AZ53" s="631">
        <f ca="1">IF(AND($D53="Serviço",AZ$12&lt;&gt;0,$H53&gt;0,OR(AUTOEVENTO&lt;&gt;"manual",$M53&lt;&gt;1)),
IF(Import.TipoArredondamento&lt;&gt;"TransfereGOV",
ROUND(OFFSET($P53,0,AZ$13),15-13*ORÇAMENTO!$AF$7)/$H53*OFFSET(ORÇAMENTO!$X$15,ROW(AZ53)-ROW(AZ$15),0),
ROUND(ROUND(OFFSET($P53,0,AZ$13),15-13*ORÇAMENTO!$AF$7)*OFFSET(ORÇAMENTO!$W$15,ROW(AZ53)-ROW(AZ$15),0),15-13*ORÇAMENTO!$AF$11)),0)</f>
        <v>0</v>
      </c>
      <c r="BA53" s="632">
        <f ca="1">IF(AND($D53="Serviço",BA$12&lt;&gt;0,$H53&gt;0,OR(AUTOEVENTO&lt;&gt;"manual",$M53&lt;&gt;1)),
IF(Import.TipoArredondamento&lt;&gt;"TransfereGOV",
ROUND(OFFSET($P53,0,BA$13),15-13*ORÇAMENTO!$AF$7)/$H53*OFFSET(ORÇAMENTO!$X$15,ROW(BA53)-ROW(BA$15),0),
ROUND(ROUND(OFFSET($P53,0,BA$13),15-13*ORÇAMENTO!$AF$7)*OFFSET(ORÇAMENTO!$W$15,ROW(BA53)-ROW(BA$15),0),15-13*ORÇAMENTO!$AF$11)),0)</f>
        <v>0</v>
      </c>
      <c r="BC53" s="216">
        <f ca="1">IF($D53&lt;&gt;"Serviço",0,IF(AND(AUTOEVENTO="Manual",$M53=1),0,IF(OFFSET(CRONOPLE!$F$14,$M53,BC$13)="",10^12,OFFSET(CRONOPLE!$F$14,$M53,BC$13))))</f>
        <v>1000000000000</v>
      </c>
      <c r="BD53" s="216">
        <f ca="1">IF($D53&lt;&gt;"Serviço",0,IF(AND(AUTOEVENTO="Manual",$M53=1),0,IF(OFFSET(CRONOPLE!$F$14,$M53,BD$13)="",10^12,OFFSET(CRONOPLE!$F$14,$M53,BD$13))))</f>
        <v>1000000000000</v>
      </c>
      <c r="BE53" s="216">
        <f ca="1">IF($D53&lt;&gt;"Serviço",0,IF(AND(AUTOEVENTO="Manual",$M53=1),0,IF(OFFSET(CRONOPLE!$F$14,$M53,BE$13)="",10^12,OFFSET(CRONOPLE!$F$14,$M53,BE$13))))</f>
        <v>1000000000000</v>
      </c>
      <c r="BF53" s="216">
        <f ca="1">IF($D53&lt;&gt;"Serviço",0,IF(AND(AUTOEVENTO="Manual",$M53=1),0,IF(OFFSET(CRONOPLE!$F$14,$M53,BF$13)="",10^12,OFFSET(CRONOPLE!$F$14,$M53,BF$13))))</f>
        <v>1000000000000</v>
      </c>
      <c r="BG53" s="216">
        <f ca="1">IF($D53&lt;&gt;"Serviço",0,IF(AND(AUTOEVENTO="Manual",$M53=1),0,IF(OFFSET(CRONOPLE!$F$14,$M53,BG$13)="",10^12,OFFSET(CRONOPLE!$F$14,$M53,BG$13))))</f>
        <v>1000000000000</v>
      </c>
      <c r="BH53" s="216">
        <f ca="1">IF($D53&lt;&gt;"Serviço",0,IF(AND(AUTOEVENTO="Manual",$M53=1),0,IF(OFFSET(CRONOPLE!$F$14,$M53,BH$13)="",10^12,OFFSET(CRONOPLE!$F$14,$M53,BH$13))))</f>
        <v>3</v>
      </c>
      <c r="BI53" s="216">
        <f ca="1">IF($D53&lt;&gt;"Serviço",0,IF(AND(AUTOEVENTO="Manual",$M53=1),0,IF(OFFSET(CRONOPLE!$F$14,$M53,BI$13)="",10^12,OFFSET(CRONOPLE!$F$14,$M53,BI$13))))</f>
        <v>1000000000000</v>
      </c>
      <c r="BJ53" s="216">
        <f ca="1">IF($D53&lt;&gt;"Serviço",0,IF(AND(AUTOEVENTO="Manual",$M53=1),0,IF(OFFSET(CRONOPLE!$F$14,$M53,BJ$13)="",10^12,OFFSET(CRONOPLE!$F$14,$M53,BJ$13))))</f>
        <v>1000000000000</v>
      </c>
      <c r="BK53" s="216">
        <f ca="1">IF($D53&lt;&gt;"Serviço",0,IF(AND(AUTOEVENTO="Manual",$M53=1),0,IF(OFFSET(CRONOPLE!$F$14,$M53,BK$13)="",10^12,OFFSET(CRONOPLE!$F$14,$M53,BK$13))))</f>
        <v>1000000000000</v>
      </c>
      <c r="BL53" s="216">
        <f ca="1">IF($D53&lt;&gt;"Serviço",0,IF(AND(AUTOEVENTO="Manual",$M53=1),0,IF(OFFSET(CRONOPLE!$F$14,$M53,BL$13)="",10^12,OFFSET(CRONOPLE!$F$14,$M53,BL$13))))</f>
        <v>1000000000000</v>
      </c>
      <c r="BM53" s="216">
        <f ca="1">IF($D53&lt;&gt;"Serviço",0,IF(AND(AUTOEVENTO="Manual",$M53=1),0,IF(OFFSET(CRONOPLE!$F$14,$M53,BM$13)="",10^12,OFFSET(CRONOPLE!$F$14,$M53,BM$13))))</f>
        <v>1000000000000</v>
      </c>
      <c r="BN53" s="216">
        <f ca="1">IF($D53&lt;&gt;"Serviço",0,IF(AND(AUTOEVENTO="Manual",$M53=1),0,IF(OFFSET(CRONOPLE!$F$14,$M53,BN$13)="",10^12,OFFSET(CRONOPLE!$F$14,$M53,BN$13))))</f>
        <v>1000000000000</v>
      </c>
      <c r="BO53" s="216">
        <f ca="1">IF($D53&lt;&gt;"Serviço",0,IF(AND(AUTOEVENTO="Manual",$M53=1),0,IF(OFFSET(CRONOPLE!$F$14,$M53,BO$13)="",10^12,OFFSET(CRONOPLE!$F$14,$M53,BO$13))))</f>
        <v>1000000000000</v>
      </c>
      <c r="BP53" s="216">
        <f ca="1">IF($D53&lt;&gt;"Serviço",0,IF(AND(AUTOEVENTO="Manual",$M53=1),0,IF(OFFSET(CRONOPLE!$F$14,$M53,BP$13)="",10^12,OFFSET(CRONOPLE!$F$14,$M53,BP$13))))</f>
        <v>1000000000000</v>
      </c>
      <c r="BQ53" s="216">
        <f ca="1">IF($D53&lt;&gt;"Serviço",0,IF(AND(AUTOEVENTO="Manual",$M53=1),0,IF(OFFSET(CRONOPLE!$F$14,$M53,BQ$13)="",10^12,OFFSET(CRONOPLE!$F$14,$M53,BQ$13))))</f>
        <v>1000000000000</v>
      </c>
      <c r="BR53" s="216">
        <f ca="1">IF($D53&lt;&gt;"Serviço",0,IF(AND(AUTOEVENTO="Manual",$M53=1),0,IF(OFFSET(CRONOPLE!$F$14,$M53,BR$13)="",10^12,OFFSET(CRONOPLE!$F$14,$M53,BR$13))))</f>
        <v>1000000000000</v>
      </c>
      <c r="BS53" s="216">
        <f ca="1">IF($D53&lt;&gt;"Serviço",0,IF(AND(AUTOEVENTO="Manual",$M53=1),0,IF(OFFSET(CRONOPLE!$F$14,$M53,BS$13)="",10^12,OFFSET(CRONOPLE!$F$14,$M53,BS$13))))</f>
        <v>1000000000000</v>
      </c>
      <c r="BT53" s="216">
        <f ca="1">IF($D53&lt;&gt;"Serviço",0,IF(AND(AUTOEVENTO="Manual",$M53=1),0,IF(OFFSET(CRONOPLE!$F$14,$M53,BT$13)="",10^12,OFFSET(CRONOPLE!$F$14,$M53,BT$13))))</f>
        <v>1000000000000</v>
      </c>
      <c r="BV53" s="217">
        <f ca="1">IF($D53&lt;&gt;"Serviço",0,IF(OR(AND(AUTOEVENTO="Manual",$M53=1),$M53&gt;(ROW(PLE.lastrow)-ROW(PLE.firstrow))),0,IF(OFFSET(PLE!$G$14,$M53,BV$13)="",10^12,OFFSET(PLE!$G$14,$M53,BV$13))))</f>
        <v>1000000000000</v>
      </c>
      <c r="BW53" s="217">
        <f ca="1">IF($D53&lt;&gt;"Serviço",0,IF(OR(AND(AUTOEVENTO="Manual",$M53=1),$M53&gt;(ROW(PLE.lastrow)-ROW(PLE.firstrow))),0,IF(OFFSET(PLE!$G$14,$M53,BW$13)="",10^12,OFFSET(PLE!$G$14,$M53,BW$13))))</f>
        <v>1000000000000</v>
      </c>
      <c r="BX53" s="217">
        <f ca="1">IF($D53&lt;&gt;"Serviço",0,IF(OR(AND(AUTOEVENTO="Manual",$M53=1),$M53&gt;(ROW(PLE.lastrow)-ROW(PLE.firstrow))),0,IF(OFFSET(PLE!$G$14,$M53,BX$13)="",10^12,OFFSET(PLE!$G$14,$M53,BX$13))))</f>
        <v>1000000000000</v>
      </c>
      <c r="BY53" s="217">
        <f ca="1">IF($D53&lt;&gt;"Serviço",0,IF(OR(AND(AUTOEVENTO="Manual",$M53=1),$M53&gt;(ROW(PLE.lastrow)-ROW(PLE.firstrow))),0,IF(OFFSET(PLE!$G$14,$M53,BY$13)="",10^12,OFFSET(PLE!$G$14,$M53,BY$13))))</f>
        <v>1000000000000</v>
      </c>
      <c r="BZ53" s="217">
        <f ca="1">IF($D53&lt;&gt;"Serviço",0,IF(OR(AND(AUTOEVENTO="Manual",$M53=1),$M53&gt;(ROW(PLE.lastrow)-ROW(PLE.firstrow))),0,IF(OFFSET(PLE!$G$14,$M53,BZ$13)="",10^12,OFFSET(PLE!$G$14,$M53,BZ$13))))</f>
        <v>1000000000000</v>
      </c>
      <c r="CA53" s="217">
        <f ca="1">IF($D53&lt;&gt;"Serviço",0,IF(OR(AND(AUTOEVENTO="Manual",$M53=1),$M53&gt;(ROW(PLE.lastrow)-ROW(PLE.firstrow))),0,IF(OFFSET(PLE!$G$14,$M53,CA$13)="",10^12,OFFSET(PLE!$G$14,$M53,CA$13))))</f>
        <v>1000000000000</v>
      </c>
      <c r="CB53" s="217">
        <f ca="1">IF($D53&lt;&gt;"Serviço",0,IF(OR(AND(AUTOEVENTO="Manual",$M53=1),$M53&gt;(ROW(PLE.lastrow)-ROW(PLE.firstrow))),0,IF(OFFSET(PLE!$G$14,$M53,CB$13)="",10^12,OFFSET(PLE!$G$14,$M53,CB$13))))</f>
        <v>1000000000000</v>
      </c>
      <c r="CC53" s="217">
        <f ca="1">IF($D53&lt;&gt;"Serviço",0,IF(OR(AND(AUTOEVENTO="Manual",$M53=1),$M53&gt;(ROW(PLE.lastrow)-ROW(PLE.firstrow))),0,IF(OFFSET(PLE!$G$14,$M53,CC$13)="",10^12,OFFSET(PLE!$G$14,$M53,CC$13))))</f>
        <v>1000000000000</v>
      </c>
      <c r="CD53" s="217">
        <f ca="1">IF($D53&lt;&gt;"Serviço",0,IF(OR(AND(AUTOEVENTO="Manual",$M53=1),$M53&gt;(ROW(PLE.lastrow)-ROW(PLE.firstrow))),0,IF(OFFSET(PLE!$G$14,$M53,CD$13)="",10^12,OFFSET(PLE!$G$14,$M53,CD$13))))</f>
        <v>1000000000000</v>
      </c>
      <c r="CE53" s="217">
        <f ca="1">IF($D53&lt;&gt;"Serviço",0,IF(OR(AND(AUTOEVENTO="Manual",$M53=1),$M53&gt;(ROW(PLE.lastrow)-ROW(PLE.firstrow))),0,IF(OFFSET(PLE!$G$14,$M53,CE$13)="",10^12,OFFSET(PLE!$G$14,$M53,CE$13))))</f>
        <v>1000000000000</v>
      </c>
      <c r="CF53" s="217">
        <f ca="1">IF($D53&lt;&gt;"Serviço",0,IF(OR(AND(AUTOEVENTO="Manual",$M53=1),$M53&gt;(ROW(PLE.lastrow)-ROW(PLE.firstrow))),0,IF(OFFSET(PLE!$G$14,$M53,CF$13)="",10^12,OFFSET(PLE!$G$14,$M53,CF$13))))</f>
        <v>1000000000000</v>
      </c>
      <c r="CG53" s="217">
        <f ca="1">IF($D53&lt;&gt;"Serviço",0,IF(OR(AND(AUTOEVENTO="Manual",$M53=1),$M53&gt;(ROW(PLE.lastrow)-ROW(PLE.firstrow))),0,IF(OFFSET(PLE!$G$14,$M53,CG$13)="",10^12,OFFSET(PLE!$G$14,$M53,CG$13))))</f>
        <v>1000000000000</v>
      </c>
      <c r="CH53" s="217">
        <f ca="1">IF($D53&lt;&gt;"Serviço",0,IF(OR(AND(AUTOEVENTO="Manual",$M53=1),$M53&gt;(ROW(PLE.lastrow)-ROW(PLE.firstrow))),0,IF(OFFSET(PLE!$G$14,$M53,CH$13)="",10^12,OFFSET(PLE!$G$14,$M53,CH$13))))</f>
        <v>1000000000000</v>
      </c>
      <c r="CI53" s="217">
        <f ca="1">IF($D53&lt;&gt;"Serviço",0,IF(OR(AND(AUTOEVENTO="Manual",$M53=1),$M53&gt;(ROW(PLE.lastrow)-ROW(PLE.firstrow))),0,IF(OFFSET(PLE!$G$14,$M53,CI$13)="",10^12,OFFSET(PLE!$G$14,$M53,CI$13))))</f>
        <v>1000000000000</v>
      </c>
      <c r="CJ53" s="217">
        <f ca="1">IF($D53&lt;&gt;"Serviço",0,IF(OR(AND(AUTOEVENTO="Manual",$M53=1),$M53&gt;(ROW(PLE.lastrow)-ROW(PLE.firstrow))),0,IF(OFFSET(PLE!$G$14,$M53,CJ$13)="",10^12,OFFSET(PLE!$G$14,$M53,CJ$13))))</f>
        <v>1000000000000</v>
      </c>
      <c r="CK53" s="217">
        <f ca="1">IF($D53&lt;&gt;"Serviço",0,IF(OR(AND(AUTOEVENTO="Manual",$M53=1),$M53&gt;(ROW(PLE.lastrow)-ROW(PLE.firstrow))),0,IF(OFFSET(PLE!$G$14,$M53,CK$13)="",10^12,OFFSET(PLE!$G$14,$M53,CK$13))))</f>
        <v>1000000000000</v>
      </c>
      <c r="CL53" s="217">
        <f ca="1">IF($D53&lt;&gt;"Serviço",0,IF(OR(AND(AUTOEVENTO="Manual",$M53=1),$M53&gt;(ROW(PLE.lastrow)-ROW(PLE.firstrow))),0,IF(OFFSET(PLE!$G$14,$M53,CL$13)="",10^12,OFFSET(PLE!$G$14,$M53,CL$13))))</f>
        <v>1000000000000</v>
      </c>
      <c r="CM53" s="217">
        <f ca="1">IF($D53&lt;&gt;"Serviço",0,IF(OR(AND(AUTOEVENTO="Manual",$M53=1),$M53&gt;(ROW(PLE.lastrow)-ROW(PLE.firstrow))),0,IF(OFFSET(PLE!$G$14,$M53,CM$13)="",10^12,OFFSET(PLE!$G$14,$M53,CM$13))))</f>
        <v>1000000000000</v>
      </c>
    </row>
    <row r="54" spans="1:91" ht="25.5" x14ac:dyDescent="0.2">
      <c r="A54" s="9" t="str">
        <f t="shared" ca="1" si="9"/>
        <v>34</v>
      </c>
      <c r="B54" s="9" t="str">
        <f ca="1">OFFSET(ORÇAMENTO!C$15,ROW(B54)-ROW(B$15),0)</f>
        <v>S</v>
      </c>
      <c r="C54" s="9" t="str">
        <f ca="1">OFFSET(ORÇAMENTO!L$15,ROW(C54)-ROW(C$15),0)</f>
        <v/>
      </c>
      <c r="D54" s="146" t="str">
        <f ca="1">OFFSET(ORÇAMENTO!N$15,ROW(D54)-ROW(D$15),0)</f>
        <v>Serviço</v>
      </c>
      <c r="E54" s="206" t="str">
        <f ca="1">OFFSET(ORÇAMENTO!O$15,ROW(E54)-ROW(E$15),0)</f>
        <v>-</v>
      </c>
      <c r="F54" s="207" t="str">
        <f ca="1">OFFSET(ORÇAMENTO!R$15,ROW(F54)-ROW(F$15),0)</f>
        <v>(abra o arquivo 'Referência 12-2023.xlsm)</v>
      </c>
      <c r="G54" s="208" t="str">
        <f ca="1">IF($D54&lt;&gt;"Serviço","",OFFSET(ORÇAMENTO!S$15,ROW(G54)-ROW(G$15),0))</f>
        <v>-</v>
      </c>
      <c r="H54" s="152">
        <f ca="1">IF($D54&lt;&gt;"Serviço",0,IF(ACOMPANHAMENTO="BM",ROUND(OFFSET(ORÇAMENTO!AJ$15,ROW(H54)-ROW(H$15),0),15-13*ORÇAMENTO!$AF$7),SUMPRODUCT(($Q$12:$AI$12&lt;&gt;"")*ROUND($Q54:$AI54,15-13*ORÇAMENTO!$AF$7))))</f>
        <v>263.82</v>
      </c>
      <c r="I54" s="649" t="s">
        <v>504</v>
      </c>
      <c r="K54" s="209"/>
      <c r="L54" s="210" t="s">
        <v>255</v>
      </c>
      <c r="M54" s="211">
        <f ca="1">IF($D54&lt;&gt;"Serviço","",IF(AUTOEVENTO="manual",$A54,IF(ISERROR(MATCH($A54,$A$15:OFFSET($A54,-1,0),0)),MAX($M$15:OFFSET(M54,-1,0))+1,INDEX($M$15:OFFSET(M54,-1,0),MATCH($A54,$A$15:OFFSET($A54,-1,0),0)))))</f>
        <v>9</v>
      </c>
      <c r="N54" s="212" t="str">
        <f ca="1">IF($D54&lt;&gt;"Serviço","",IF(AUTOEVENTO="Manual",IF($A54=0,"&lt;-- defina o número do agrupador",OFFSET(EVENTOS!$D$14,$A54,0)),OFFSET($F$15,$A54,0)))</f>
        <v xml:space="preserve">DRENAGEM </v>
      </c>
      <c r="O54" s="213"/>
      <c r="Q54" s="213"/>
      <c r="R54" s="214"/>
      <c r="S54" s="214"/>
      <c r="T54" s="214"/>
      <c r="U54" s="214"/>
      <c r="V54" s="214">
        <v>263.82</v>
      </c>
      <c r="W54" s="214"/>
      <c r="X54" s="214"/>
      <c r="Y54" s="214"/>
      <c r="Z54" s="215"/>
      <c r="AA54" s="214"/>
      <c r="AB54" s="214"/>
      <c r="AC54" s="214"/>
      <c r="AD54" s="214"/>
      <c r="AE54" s="214"/>
      <c r="AF54" s="214"/>
      <c r="AG54" s="214"/>
      <c r="AH54" s="215"/>
      <c r="AJ54" s="630">
        <f ca="1">IF(AND($D54="Serviço",AJ$12&lt;&gt;0,$H54&gt;0,OR(AUTOEVENTO&lt;&gt;"manual",$M54&lt;&gt;1)),
IF(Import.TipoArredondamento&lt;&gt;"TransfereGOV",
ROUND(OFFSET($P54,0,AJ$13),15-13*ORÇAMENTO!$AF$7)/$H54*OFFSET(ORÇAMENTO!$X$15,ROW(AJ54)-ROW(AJ$15),0),
ROUND(ROUND(OFFSET($P54,0,AJ$13),15-13*ORÇAMENTO!$AF$7)*OFFSET(ORÇAMENTO!$W$15,ROW(AJ54)-ROW(AJ$15),0),15-13*ORÇAMENTO!$AF$11)),0)</f>
        <v>0</v>
      </c>
      <c r="AK54" s="631">
        <f ca="1">IF(AND($D54="Serviço",AK$12&lt;&gt;0,$H54&gt;0,OR(AUTOEVENTO&lt;&gt;"manual",$M54&lt;&gt;1)),
IF(Import.TipoArredondamento&lt;&gt;"TransfereGOV",
ROUND(OFFSET($P54,0,AK$13),15-13*ORÇAMENTO!$AF$7)/$H54*OFFSET(ORÇAMENTO!$X$15,ROW(AK54)-ROW(AK$15),0),
ROUND(ROUND(OFFSET($P54,0,AK$13),15-13*ORÇAMENTO!$AF$7)*OFFSET(ORÇAMENTO!$W$15,ROW(AK54)-ROW(AK$15),0),15-13*ORÇAMENTO!$AF$11)),0)</f>
        <v>0</v>
      </c>
      <c r="AL54" s="631">
        <f ca="1">IF(AND($D54="Serviço",AL$12&lt;&gt;0,$H54&gt;0,OR(AUTOEVENTO&lt;&gt;"manual",$M54&lt;&gt;1)),
IF(Import.TipoArredondamento&lt;&gt;"TransfereGOV",
ROUND(OFFSET($P54,0,AL$13),15-13*ORÇAMENTO!$AF$7)/$H54*OFFSET(ORÇAMENTO!$X$15,ROW(AL54)-ROW(AL$15),0),
ROUND(ROUND(OFFSET($P54,0,AL$13),15-13*ORÇAMENTO!$AF$7)*OFFSET(ORÇAMENTO!$W$15,ROW(AL54)-ROW(AL$15),0),15-13*ORÇAMENTO!$AF$11)),0)</f>
        <v>0</v>
      </c>
      <c r="AM54" s="631">
        <f ca="1">IF(AND($D54="Serviço",AM$12&lt;&gt;0,$H54&gt;0,OR(AUTOEVENTO&lt;&gt;"manual",$M54&lt;&gt;1)),
IF(Import.TipoArredondamento&lt;&gt;"TransfereGOV",
ROUND(OFFSET($P54,0,AM$13),15-13*ORÇAMENTO!$AF$7)/$H54*OFFSET(ORÇAMENTO!$X$15,ROW(AM54)-ROW(AM$15),0),
ROUND(ROUND(OFFSET($P54,0,AM$13),15-13*ORÇAMENTO!$AF$7)*OFFSET(ORÇAMENTO!$W$15,ROW(AM54)-ROW(AM$15),0),15-13*ORÇAMENTO!$AF$11)),0)</f>
        <v>0</v>
      </c>
      <c r="AN54" s="631">
        <f ca="1">IF(AND($D54="Serviço",AN$12&lt;&gt;0,$H54&gt;0,OR(AUTOEVENTO&lt;&gt;"manual",$M54&lt;&gt;1)),
IF(Import.TipoArredondamento&lt;&gt;"TransfereGOV",
ROUND(OFFSET($P54,0,AN$13),15-13*ORÇAMENTO!$AF$7)/$H54*OFFSET(ORÇAMENTO!$X$15,ROW(AN54)-ROW(AN$15),0),
ROUND(ROUND(OFFSET($P54,0,AN$13),15-13*ORÇAMENTO!$AF$7)*OFFSET(ORÇAMENTO!$W$15,ROW(AN54)-ROW(AN$15),0),15-13*ORÇAMENTO!$AF$11)),0)</f>
        <v>0</v>
      </c>
      <c r="AO54" s="631">
        <f ca="1">IF(AND($D54="Serviço",AO$12&lt;&gt;0,$H54&gt;0,OR(AUTOEVENTO&lt;&gt;"manual",$M54&lt;&gt;1)),
IF(Import.TipoArredondamento&lt;&gt;"TransfereGOV",
ROUND(OFFSET($P54,0,AO$13),15-13*ORÇAMENTO!$AF$7)/$H54*OFFSET(ORÇAMENTO!$X$15,ROW(AO54)-ROW(AO$15),0),
ROUND(ROUND(OFFSET($P54,0,AO$13),15-13*ORÇAMENTO!$AF$7)*OFFSET(ORÇAMENTO!$W$15,ROW(AO54)-ROW(AO$15),0),15-13*ORÇAMENTO!$AF$11)),0)</f>
        <v>0</v>
      </c>
      <c r="AP54" s="631">
        <f ca="1">IF(AND($D54="Serviço",AP$12&lt;&gt;0,$H54&gt;0,OR(AUTOEVENTO&lt;&gt;"manual",$M54&lt;&gt;1)),
IF(Import.TipoArredondamento&lt;&gt;"TransfereGOV",
ROUND(OFFSET($P54,0,AP$13),15-13*ORÇAMENTO!$AF$7)/$H54*OFFSET(ORÇAMENTO!$X$15,ROW(AP54)-ROW(AP$15),0),
ROUND(ROUND(OFFSET($P54,0,AP$13),15-13*ORÇAMENTO!$AF$7)*OFFSET(ORÇAMENTO!$W$15,ROW(AP54)-ROW(AP$15),0),15-13*ORÇAMENTO!$AF$11)),0)</f>
        <v>0</v>
      </c>
      <c r="AQ54" s="631">
        <f ca="1">IF(AND($D54="Serviço",AQ$12&lt;&gt;0,$H54&gt;0,OR(AUTOEVENTO&lt;&gt;"manual",$M54&lt;&gt;1)),
IF(Import.TipoArredondamento&lt;&gt;"TransfereGOV",
ROUND(OFFSET($P54,0,AQ$13),15-13*ORÇAMENTO!$AF$7)/$H54*OFFSET(ORÇAMENTO!$X$15,ROW(AQ54)-ROW(AQ$15),0),
ROUND(ROUND(OFFSET($P54,0,AQ$13),15-13*ORÇAMENTO!$AF$7)*OFFSET(ORÇAMENTO!$W$15,ROW(AQ54)-ROW(AQ$15),0),15-13*ORÇAMENTO!$AF$11)),0)</f>
        <v>0</v>
      </c>
      <c r="AR54" s="631">
        <f ca="1">IF(AND($D54="Serviço",AR$12&lt;&gt;0,$H54&gt;0,OR(AUTOEVENTO&lt;&gt;"manual",$M54&lt;&gt;1)),
IF(Import.TipoArredondamento&lt;&gt;"TransfereGOV",
ROUND(OFFSET($P54,0,AR$13),15-13*ORÇAMENTO!$AF$7)/$H54*OFFSET(ORÇAMENTO!$X$15,ROW(AR54)-ROW(AR$15),0),
ROUND(ROUND(OFFSET($P54,0,AR$13),15-13*ORÇAMENTO!$AF$7)*OFFSET(ORÇAMENTO!$W$15,ROW(AR54)-ROW(AR$15),0),15-13*ORÇAMENTO!$AF$11)),0)</f>
        <v>0</v>
      </c>
      <c r="AS54" s="632">
        <f ca="1">IF(AND($D54="Serviço",AS$12&lt;&gt;0,$H54&gt;0,OR(AUTOEVENTO&lt;&gt;"manual",$M54&lt;&gt;1)),
IF(Import.TipoArredondamento&lt;&gt;"TransfereGOV",
ROUND(OFFSET($P54,0,AS$13),15-13*ORÇAMENTO!$AF$7)/$H54*OFFSET(ORÇAMENTO!$X$15,ROW(AS54)-ROW(AS$15),0),
ROUND(ROUND(OFFSET($P54,0,AS$13),15-13*ORÇAMENTO!$AF$7)*OFFSET(ORÇAMENTO!$W$15,ROW(AS54)-ROW(AS$15),0),15-13*ORÇAMENTO!$AF$11)),0)</f>
        <v>0</v>
      </c>
      <c r="AT54" s="631">
        <f ca="1">IF(AND($D54="Serviço",AT$12&lt;&gt;0,$H54&gt;0,OR(AUTOEVENTO&lt;&gt;"manual",$M54&lt;&gt;1)),
IF(Import.TipoArredondamento&lt;&gt;"TransfereGOV",
ROUND(OFFSET($P54,0,AT$13),15-13*ORÇAMENTO!$AF$7)/$H54*OFFSET(ORÇAMENTO!$X$15,ROW(AT54)-ROW(AT$15),0),
ROUND(ROUND(OFFSET($P54,0,AT$13),15-13*ORÇAMENTO!$AF$7)*OFFSET(ORÇAMENTO!$W$15,ROW(AT54)-ROW(AT$15),0),15-13*ORÇAMENTO!$AF$11)),0)</f>
        <v>0</v>
      </c>
      <c r="AU54" s="631">
        <f ca="1">IF(AND($D54="Serviço",AU$12&lt;&gt;0,$H54&gt;0,OR(AUTOEVENTO&lt;&gt;"manual",$M54&lt;&gt;1)),
IF(Import.TipoArredondamento&lt;&gt;"TransfereGOV",
ROUND(OFFSET($P54,0,AU$13),15-13*ORÇAMENTO!$AF$7)/$H54*OFFSET(ORÇAMENTO!$X$15,ROW(AU54)-ROW(AU$15),0),
ROUND(ROUND(OFFSET($P54,0,AU$13),15-13*ORÇAMENTO!$AF$7)*OFFSET(ORÇAMENTO!$W$15,ROW(AU54)-ROW(AU$15),0),15-13*ORÇAMENTO!$AF$11)),0)</f>
        <v>0</v>
      </c>
      <c r="AV54" s="631">
        <f ca="1">IF(AND($D54="Serviço",AV$12&lt;&gt;0,$H54&gt;0,OR(AUTOEVENTO&lt;&gt;"manual",$M54&lt;&gt;1)),
IF(Import.TipoArredondamento&lt;&gt;"TransfereGOV",
ROUND(OFFSET($P54,0,AV$13),15-13*ORÇAMENTO!$AF$7)/$H54*OFFSET(ORÇAMENTO!$X$15,ROW(AV54)-ROW(AV$15),0),
ROUND(ROUND(OFFSET($P54,0,AV$13),15-13*ORÇAMENTO!$AF$7)*OFFSET(ORÇAMENTO!$W$15,ROW(AV54)-ROW(AV$15),0),15-13*ORÇAMENTO!$AF$11)),0)</f>
        <v>0</v>
      </c>
      <c r="AW54" s="631">
        <f ca="1">IF(AND($D54="Serviço",AW$12&lt;&gt;0,$H54&gt;0,OR(AUTOEVENTO&lt;&gt;"manual",$M54&lt;&gt;1)),
IF(Import.TipoArredondamento&lt;&gt;"TransfereGOV",
ROUND(OFFSET($P54,0,AW$13),15-13*ORÇAMENTO!$AF$7)/$H54*OFFSET(ORÇAMENTO!$X$15,ROW(AW54)-ROW(AW$15),0),
ROUND(ROUND(OFFSET($P54,0,AW$13),15-13*ORÇAMENTO!$AF$7)*OFFSET(ORÇAMENTO!$W$15,ROW(AW54)-ROW(AW$15),0),15-13*ORÇAMENTO!$AF$11)),0)</f>
        <v>0</v>
      </c>
      <c r="AX54" s="631">
        <f ca="1">IF(AND($D54="Serviço",AX$12&lt;&gt;0,$H54&gt;0,OR(AUTOEVENTO&lt;&gt;"manual",$M54&lt;&gt;1)),
IF(Import.TipoArredondamento&lt;&gt;"TransfereGOV",
ROUND(OFFSET($P54,0,AX$13),15-13*ORÇAMENTO!$AF$7)/$H54*OFFSET(ORÇAMENTO!$X$15,ROW(AX54)-ROW(AX$15),0),
ROUND(ROUND(OFFSET($P54,0,AX$13),15-13*ORÇAMENTO!$AF$7)*OFFSET(ORÇAMENTO!$W$15,ROW(AX54)-ROW(AX$15),0),15-13*ORÇAMENTO!$AF$11)),0)</f>
        <v>0</v>
      </c>
      <c r="AY54" s="631">
        <f ca="1">IF(AND($D54="Serviço",AY$12&lt;&gt;0,$H54&gt;0,OR(AUTOEVENTO&lt;&gt;"manual",$M54&lt;&gt;1)),
IF(Import.TipoArredondamento&lt;&gt;"TransfereGOV",
ROUND(OFFSET($P54,0,AY$13),15-13*ORÇAMENTO!$AF$7)/$H54*OFFSET(ORÇAMENTO!$X$15,ROW(AY54)-ROW(AY$15),0),
ROUND(ROUND(OFFSET($P54,0,AY$13),15-13*ORÇAMENTO!$AF$7)*OFFSET(ORÇAMENTO!$W$15,ROW(AY54)-ROW(AY$15),0),15-13*ORÇAMENTO!$AF$11)),0)</f>
        <v>0</v>
      </c>
      <c r="AZ54" s="631">
        <f ca="1">IF(AND($D54="Serviço",AZ$12&lt;&gt;0,$H54&gt;0,OR(AUTOEVENTO&lt;&gt;"manual",$M54&lt;&gt;1)),
IF(Import.TipoArredondamento&lt;&gt;"TransfereGOV",
ROUND(OFFSET($P54,0,AZ$13),15-13*ORÇAMENTO!$AF$7)/$H54*OFFSET(ORÇAMENTO!$X$15,ROW(AZ54)-ROW(AZ$15),0),
ROUND(ROUND(OFFSET($P54,0,AZ$13),15-13*ORÇAMENTO!$AF$7)*OFFSET(ORÇAMENTO!$W$15,ROW(AZ54)-ROW(AZ$15),0),15-13*ORÇAMENTO!$AF$11)),0)</f>
        <v>0</v>
      </c>
      <c r="BA54" s="632">
        <f ca="1">IF(AND($D54="Serviço",BA$12&lt;&gt;0,$H54&gt;0,OR(AUTOEVENTO&lt;&gt;"manual",$M54&lt;&gt;1)),
IF(Import.TipoArredondamento&lt;&gt;"TransfereGOV",
ROUND(OFFSET($P54,0,BA$13),15-13*ORÇAMENTO!$AF$7)/$H54*OFFSET(ORÇAMENTO!$X$15,ROW(BA54)-ROW(BA$15),0),
ROUND(ROUND(OFFSET($P54,0,BA$13),15-13*ORÇAMENTO!$AF$7)*OFFSET(ORÇAMENTO!$W$15,ROW(BA54)-ROW(BA$15),0),15-13*ORÇAMENTO!$AF$11)),0)</f>
        <v>0</v>
      </c>
      <c r="BC54" s="216">
        <f ca="1">IF($D54&lt;&gt;"Serviço",0,IF(AND(AUTOEVENTO="Manual",$M54=1),0,IF(OFFSET(CRONOPLE!$F$14,$M54,BC$13)="",10^12,OFFSET(CRONOPLE!$F$14,$M54,BC$13))))</f>
        <v>1000000000000</v>
      </c>
      <c r="BD54" s="216">
        <f ca="1">IF($D54&lt;&gt;"Serviço",0,IF(AND(AUTOEVENTO="Manual",$M54=1),0,IF(OFFSET(CRONOPLE!$F$14,$M54,BD$13)="",10^12,OFFSET(CRONOPLE!$F$14,$M54,BD$13))))</f>
        <v>1000000000000</v>
      </c>
      <c r="BE54" s="216">
        <f ca="1">IF($D54&lt;&gt;"Serviço",0,IF(AND(AUTOEVENTO="Manual",$M54=1),0,IF(OFFSET(CRONOPLE!$F$14,$M54,BE$13)="",10^12,OFFSET(CRONOPLE!$F$14,$M54,BE$13))))</f>
        <v>1000000000000</v>
      </c>
      <c r="BF54" s="216">
        <f ca="1">IF($D54&lt;&gt;"Serviço",0,IF(AND(AUTOEVENTO="Manual",$M54=1),0,IF(OFFSET(CRONOPLE!$F$14,$M54,BF$13)="",10^12,OFFSET(CRONOPLE!$F$14,$M54,BF$13))))</f>
        <v>1000000000000</v>
      </c>
      <c r="BG54" s="216">
        <f ca="1">IF($D54&lt;&gt;"Serviço",0,IF(AND(AUTOEVENTO="Manual",$M54=1),0,IF(OFFSET(CRONOPLE!$F$14,$M54,BG$13)="",10^12,OFFSET(CRONOPLE!$F$14,$M54,BG$13))))</f>
        <v>1000000000000</v>
      </c>
      <c r="BH54" s="216">
        <f ca="1">IF($D54&lt;&gt;"Serviço",0,IF(AND(AUTOEVENTO="Manual",$M54=1),0,IF(OFFSET(CRONOPLE!$F$14,$M54,BH$13)="",10^12,OFFSET(CRONOPLE!$F$14,$M54,BH$13))))</f>
        <v>3</v>
      </c>
      <c r="BI54" s="216">
        <f ca="1">IF($D54&lt;&gt;"Serviço",0,IF(AND(AUTOEVENTO="Manual",$M54=1),0,IF(OFFSET(CRONOPLE!$F$14,$M54,BI$13)="",10^12,OFFSET(CRONOPLE!$F$14,$M54,BI$13))))</f>
        <v>1000000000000</v>
      </c>
      <c r="BJ54" s="216">
        <f ca="1">IF($D54&lt;&gt;"Serviço",0,IF(AND(AUTOEVENTO="Manual",$M54=1),0,IF(OFFSET(CRONOPLE!$F$14,$M54,BJ$13)="",10^12,OFFSET(CRONOPLE!$F$14,$M54,BJ$13))))</f>
        <v>1000000000000</v>
      </c>
      <c r="BK54" s="216">
        <f ca="1">IF($D54&lt;&gt;"Serviço",0,IF(AND(AUTOEVENTO="Manual",$M54=1),0,IF(OFFSET(CRONOPLE!$F$14,$M54,BK$13)="",10^12,OFFSET(CRONOPLE!$F$14,$M54,BK$13))))</f>
        <v>1000000000000</v>
      </c>
      <c r="BL54" s="216">
        <f ca="1">IF($D54&lt;&gt;"Serviço",0,IF(AND(AUTOEVENTO="Manual",$M54=1),0,IF(OFFSET(CRONOPLE!$F$14,$M54,BL$13)="",10^12,OFFSET(CRONOPLE!$F$14,$M54,BL$13))))</f>
        <v>1000000000000</v>
      </c>
      <c r="BM54" s="216">
        <f ca="1">IF($D54&lt;&gt;"Serviço",0,IF(AND(AUTOEVENTO="Manual",$M54=1),0,IF(OFFSET(CRONOPLE!$F$14,$M54,BM$13)="",10^12,OFFSET(CRONOPLE!$F$14,$M54,BM$13))))</f>
        <v>1000000000000</v>
      </c>
      <c r="BN54" s="216">
        <f ca="1">IF($D54&lt;&gt;"Serviço",0,IF(AND(AUTOEVENTO="Manual",$M54=1),0,IF(OFFSET(CRONOPLE!$F$14,$M54,BN$13)="",10^12,OFFSET(CRONOPLE!$F$14,$M54,BN$13))))</f>
        <v>1000000000000</v>
      </c>
      <c r="BO54" s="216">
        <f ca="1">IF($D54&lt;&gt;"Serviço",0,IF(AND(AUTOEVENTO="Manual",$M54=1),0,IF(OFFSET(CRONOPLE!$F$14,$M54,BO$13)="",10^12,OFFSET(CRONOPLE!$F$14,$M54,BO$13))))</f>
        <v>1000000000000</v>
      </c>
      <c r="BP54" s="216">
        <f ca="1">IF($D54&lt;&gt;"Serviço",0,IF(AND(AUTOEVENTO="Manual",$M54=1),0,IF(OFFSET(CRONOPLE!$F$14,$M54,BP$13)="",10^12,OFFSET(CRONOPLE!$F$14,$M54,BP$13))))</f>
        <v>1000000000000</v>
      </c>
      <c r="BQ54" s="216">
        <f ca="1">IF($D54&lt;&gt;"Serviço",0,IF(AND(AUTOEVENTO="Manual",$M54=1),0,IF(OFFSET(CRONOPLE!$F$14,$M54,BQ$13)="",10^12,OFFSET(CRONOPLE!$F$14,$M54,BQ$13))))</f>
        <v>1000000000000</v>
      </c>
      <c r="BR54" s="216">
        <f ca="1">IF($D54&lt;&gt;"Serviço",0,IF(AND(AUTOEVENTO="Manual",$M54=1),0,IF(OFFSET(CRONOPLE!$F$14,$M54,BR$13)="",10^12,OFFSET(CRONOPLE!$F$14,$M54,BR$13))))</f>
        <v>1000000000000</v>
      </c>
      <c r="BS54" s="216">
        <f ca="1">IF($D54&lt;&gt;"Serviço",0,IF(AND(AUTOEVENTO="Manual",$M54=1),0,IF(OFFSET(CRONOPLE!$F$14,$M54,BS$13)="",10^12,OFFSET(CRONOPLE!$F$14,$M54,BS$13))))</f>
        <v>1000000000000</v>
      </c>
      <c r="BT54" s="216">
        <f ca="1">IF($D54&lt;&gt;"Serviço",0,IF(AND(AUTOEVENTO="Manual",$M54=1),0,IF(OFFSET(CRONOPLE!$F$14,$M54,BT$13)="",10^12,OFFSET(CRONOPLE!$F$14,$M54,BT$13))))</f>
        <v>1000000000000</v>
      </c>
      <c r="BV54" s="217">
        <f ca="1">IF($D54&lt;&gt;"Serviço",0,IF(OR(AND(AUTOEVENTO="Manual",$M54=1),$M54&gt;(ROW(PLE.lastrow)-ROW(PLE.firstrow))),0,IF(OFFSET(PLE!$G$14,$M54,BV$13)="",10^12,OFFSET(PLE!$G$14,$M54,BV$13))))</f>
        <v>1000000000000</v>
      </c>
      <c r="BW54" s="217">
        <f ca="1">IF($D54&lt;&gt;"Serviço",0,IF(OR(AND(AUTOEVENTO="Manual",$M54=1),$M54&gt;(ROW(PLE.lastrow)-ROW(PLE.firstrow))),0,IF(OFFSET(PLE!$G$14,$M54,BW$13)="",10^12,OFFSET(PLE!$G$14,$M54,BW$13))))</f>
        <v>1000000000000</v>
      </c>
      <c r="BX54" s="217">
        <f ca="1">IF($D54&lt;&gt;"Serviço",0,IF(OR(AND(AUTOEVENTO="Manual",$M54=1),$M54&gt;(ROW(PLE.lastrow)-ROW(PLE.firstrow))),0,IF(OFFSET(PLE!$G$14,$M54,BX$13)="",10^12,OFFSET(PLE!$G$14,$M54,BX$13))))</f>
        <v>1000000000000</v>
      </c>
      <c r="BY54" s="217">
        <f ca="1">IF($D54&lt;&gt;"Serviço",0,IF(OR(AND(AUTOEVENTO="Manual",$M54=1),$M54&gt;(ROW(PLE.lastrow)-ROW(PLE.firstrow))),0,IF(OFFSET(PLE!$G$14,$M54,BY$13)="",10^12,OFFSET(PLE!$G$14,$M54,BY$13))))</f>
        <v>1000000000000</v>
      </c>
      <c r="BZ54" s="217">
        <f ca="1">IF($D54&lt;&gt;"Serviço",0,IF(OR(AND(AUTOEVENTO="Manual",$M54=1),$M54&gt;(ROW(PLE.lastrow)-ROW(PLE.firstrow))),0,IF(OFFSET(PLE!$G$14,$M54,BZ$13)="",10^12,OFFSET(PLE!$G$14,$M54,BZ$13))))</f>
        <v>1000000000000</v>
      </c>
      <c r="CA54" s="217">
        <f ca="1">IF($D54&lt;&gt;"Serviço",0,IF(OR(AND(AUTOEVENTO="Manual",$M54=1),$M54&gt;(ROW(PLE.lastrow)-ROW(PLE.firstrow))),0,IF(OFFSET(PLE!$G$14,$M54,CA$13)="",10^12,OFFSET(PLE!$G$14,$M54,CA$13))))</f>
        <v>1000000000000</v>
      </c>
      <c r="CB54" s="217">
        <f ca="1">IF($D54&lt;&gt;"Serviço",0,IF(OR(AND(AUTOEVENTO="Manual",$M54=1),$M54&gt;(ROW(PLE.lastrow)-ROW(PLE.firstrow))),0,IF(OFFSET(PLE!$G$14,$M54,CB$13)="",10^12,OFFSET(PLE!$G$14,$M54,CB$13))))</f>
        <v>1000000000000</v>
      </c>
      <c r="CC54" s="217">
        <f ca="1">IF($D54&lt;&gt;"Serviço",0,IF(OR(AND(AUTOEVENTO="Manual",$M54=1),$M54&gt;(ROW(PLE.lastrow)-ROW(PLE.firstrow))),0,IF(OFFSET(PLE!$G$14,$M54,CC$13)="",10^12,OFFSET(PLE!$G$14,$M54,CC$13))))</f>
        <v>1000000000000</v>
      </c>
      <c r="CD54" s="217">
        <f ca="1">IF($D54&lt;&gt;"Serviço",0,IF(OR(AND(AUTOEVENTO="Manual",$M54=1),$M54&gt;(ROW(PLE.lastrow)-ROW(PLE.firstrow))),0,IF(OFFSET(PLE!$G$14,$M54,CD$13)="",10^12,OFFSET(PLE!$G$14,$M54,CD$13))))</f>
        <v>1000000000000</v>
      </c>
      <c r="CE54" s="217">
        <f ca="1">IF($D54&lt;&gt;"Serviço",0,IF(OR(AND(AUTOEVENTO="Manual",$M54=1),$M54&gt;(ROW(PLE.lastrow)-ROW(PLE.firstrow))),0,IF(OFFSET(PLE!$G$14,$M54,CE$13)="",10^12,OFFSET(PLE!$G$14,$M54,CE$13))))</f>
        <v>1000000000000</v>
      </c>
      <c r="CF54" s="217">
        <f ca="1">IF($D54&lt;&gt;"Serviço",0,IF(OR(AND(AUTOEVENTO="Manual",$M54=1),$M54&gt;(ROW(PLE.lastrow)-ROW(PLE.firstrow))),0,IF(OFFSET(PLE!$G$14,$M54,CF$13)="",10^12,OFFSET(PLE!$G$14,$M54,CF$13))))</f>
        <v>1000000000000</v>
      </c>
      <c r="CG54" s="217">
        <f ca="1">IF($D54&lt;&gt;"Serviço",0,IF(OR(AND(AUTOEVENTO="Manual",$M54=1),$M54&gt;(ROW(PLE.lastrow)-ROW(PLE.firstrow))),0,IF(OFFSET(PLE!$G$14,$M54,CG$13)="",10^12,OFFSET(PLE!$G$14,$M54,CG$13))))</f>
        <v>1000000000000</v>
      </c>
      <c r="CH54" s="217">
        <f ca="1">IF($D54&lt;&gt;"Serviço",0,IF(OR(AND(AUTOEVENTO="Manual",$M54=1),$M54&gt;(ROW(PLE.lastrow)-ROW(PLE.firstrow))),0,IF(OFFSET(PLE!$G$14,$M54,CH$13)="",10^12,OFFSET(PLE!$G$14,$M54,CH$13))))</f>
        <v>1000000000000</v>
      </c>
      <c r="CI54" s="217">
        <f ca="1">IF($D54&lt;&gt;"Serviço",0,IF(OR(AND(AUTOEVENTO="Manual",$M54=1),$M54&gt;(ROW(PLE.lastrow)-ROW(PLE.firstrow))),0,IF(OFFSET(PLE!$G$14,$M54,CI$13)="",10^12,OFFSET(PLE!$G$14,$M54,CI$13))))</f>
        <v>1000000000000</v>
      </c>
      <c r="CJ54" s="217">
        <f ca="1">IF($D54&lt;&gt;"Serviço",0,IF(OR(AND(AUTOEVENTO="Manual",$M54=1),$M54&gt;(ROW(PLE.lastrow)-ROW(PLE.firstrow))),0,IF(OFFSET(PLE!$G$14,$M54,CJ$13)="",10^12,OFFSET(PLE!$G$14,$M54,CJ$13))))</f>
        <v>1000000000000</v>
      </c>
      <c r="CK54" s="217">
        <f ca="1">IF($D54&lt;&gt;"Serviço",0,IF(OR(AND(AUTOEVENTO="Manual",$M54=1),$M54&gt;(ROW(PLE.lastrow)-ROW(PLE.firstrow))),0,IF(OFFSET(PLE!$G$14,$M54,CK$13)="",10^12,OFFSET(PLE!$G$14,$M54,CK$13))))</f>
        <v>1000000000000</v>
      </c>
      <c r="CL54" s="217">
        <f ca="1">IF($D54&lt;&gt;"Serviço",0,IF(OR(AND(AUTOEVENTO="Manual",$M54=1),$M54&gt;(ROW(PLE.lastrow)-ROW(PLE.firstrow))),0,IF(OFFSET(PLE!$G$14,$M54,CL$13)="",10^12,OFFSET(PLE!$G$14,$M54,CL$13))))</f>
        <v>1000000000000</v>
      </c>
      <c r="CM54" s="217">
        <f ca="1">IF($D54&lt;&gt;"Serviço",0,IF(OR(AND(AUTOEVENTO="Manual",$M54=1),$M54&gt;(ROW(PLE.lastrow)-ROW(PLE.firstrow))),0,IF(OFFSET(PLE!$G$14,$M54,CM$13)="",10^12,OFFSET(PLE!$G$14,$M54,CM$13))))</f>
        <v>1000000000000</v>
      </c>
    </row>
    <row r="55" spans="1:91" ht="25.5" x14ac:dyDescent="0.2">
      <c r="A55" s="9" t="str">
        <f t="shared" ca="1" si="9"/>
        <v>34</v>
      </c>
      <c r="B55" s="9" t="str">
        <f ca="1">OFFSET(ORÇAMENTO!C$15,ROW(B55)-ROW(B$15),0)</f>
        <v>S</v>
      </c>
      <c r="C55" s="9" t="str">
        <f ca="1">OFFSET(ORÇAMENTO!L$15,ROW(C55)-ROW(C$15),0)</f>
        <v/>
      </c>
      <c r="D55" s="146" t="str">
        <f ca="1">OFFSET(ORÇAMENTO!N$15,ROW(D55)-ROW(D$15),0)</f>
        <v>Serviço</v>
      </c>
      <c r="E55" s="206" t="str">
        <f ca="1">OFFSET(ORÇAMENTO!O$15,ROW(E55)-ROW(E$15),0)</f>
        <v>-</v>
      </c>
      <c r="F55" s="207" t="str">
        <f ca="1">OFFSET(ORÇAMENTO!R$15,ROW(F55)-ROW(F$15),0)</f>
        <v>(abra o arquivo 'Referência 12-2023.xlsm)</v>
      </c>
      <c r="G55" s="208" t="str">
        <f ca="1">IF($D55&lt;&gt;"Serviço","",OFFSET(ORÇAMENTO!S$15,ROW(G55)-ROW(G$15),0))</f>
        <v>-</v>
      </c>
      <c r="H55" s="152">
        <f ca="1">IF($D55&lt;&gt;"Serviço",0,IF(ACOMPANHAMENTO="BM",ROUND(OFFSET(ORÇAMENTO!AJ$15,ROW(H55)-ROW(H$15),0),15-13*ORÇAMENTO!$AF$7),SUMPRODUCT(($Q$12:$AI$12&lt;&gt;"")*ROUND($Q55:$AI55,15-13*ORÇAMENTO!$AF$7))))</f>
        <v>314.06</v>
      </c>
      <c r="I55" s="649" t="s">
        <v>504</v>
      </c>
      <c r="K55" s="209"/>
      <c r="L55" s="210" t="s">
        <v>255</v>
      </c>
      <c r="M55" s="211">
        <f ca="1">IF($D55&lt;&gt;"Serviço","",IF(AUTOEVENTO="manual",$A55,IF(ISERROR(MATCH($A55,$A$15:OFFSET($A55,-1,0),0)),MAX($M$15:OFFSET(M55,-1,0))+1,INDEX($M$15:OFFSET(M55,-1,0),MATCH($A55,$A$15:OFFSET($A55,-1,0),0)))))</f>
        <v>9</v>
      </c>
      <c r="N55" s="212" t="str">
        <f ca="1">IF($D55&lt;&gt;"Serviço","",IF(AUTOEVENTO="Manual",IF($A55=0,"&lt;-- defina o número do agrupador",OFFSET(EVENTOS!$D$14,$A55,0)),OFFSET($F$15,$A55,0)))</f>
        <v xml:space="preserve">DRENAGEM </v>
      </c>
      <c r="O55" s="213"/>
      <c r="Q55" s="213"/>
      <c r="R55" s="214"/>
      <c r="S55" s="214"/>
      <c r="T55" s="214"/>
      <c r="U55" s="214"/>
      <c r="V55" s="214">
        <v>314.06</v>
      </c>
      <c r="W55" s="214"/>
      <c r="X55" s="214"/>
      <c r="Y55" s="214"/>
      <c r="Z55" s="215"/>
      <c r="AA55" s="214"/>
      <c r="AB55" s="214"/>
      <c r="AC55" s="214"/>
      <c r="AD55" s="214"/>
      <c r="AE55" s="214"/>
      <c r="AF55" s="214"/>
      <c r="AG55" s="214"/>
      <c r="AH55" s="215"/>
      <c r="AJ55" s="630">
        <f ca="1">IF(AND($D55="Serviço",AJ$12&lt;&gt;0,$H55&gt;0,OR(AUTOEVENTO&lt;&gt;"manual",$M55&lt;&gt;1)),
IF(Import.TipoArredondamento&lt;&gt;"TransfereGOV",
ROUND(OFFSET($P55,0,AJ$13),15-13*ORÇAMENTO!$AF$7)/$H55*OFFSET(ORÇAMENTO!$X$15,ROW(AJ55)-ROW(AJ$15),0),
ROUND(ROUND(OFFSET($P55,0,AJ$13),15-13*ORÇAMENTO!$AF$7)*OFFSET(ORÇAMENTO!$W$15,ROW(AJ55)-ROW(AJ$15),0),15-13*ORÇAMENTO!$AF$11)),0)</f>
        <v>0</v>
      </c>
      <c r="AK55" s="631">
        <f ca="1">IF(AND($D55="Serviço",AK$12&lt;&gt;0,$H55&gt;0,OR(AUTOEVENTO&lt;&gt;"manual",$M55&lt;&gt;1)),
IF(Import.TipoArredondamento&lt;&gt;"TransfereGOV",
ROUND(OFFSET($P55,0,AK$13),15-13*ORÇAMENTO!$AF$7)/$H55*OFFSET(ORÇAMENTO!$X$15,ROW(AK55)-ROW(AK$15),0),
ROUND(ROUND(OFFSET($P55,0,AK$13),15-13*ORÇAMENTO!$AF$7)*OFFSET(ORÇAMENTO!$W$15,ROW(AK55)-ROW(AK$15),0),15-13*ORÇAMENTO!$AF$11)),0)</f>
        <v>0</v>
      </c>
      <c r="AL55" s="631">
        <f ca="1">IF(AND($D55="Serviço",AL$12&lt;&gt;0,$H55&gt;0,OR(AUTOEVENTO&lt;&gt;"manual",$M55&lt;&gt;1)),
IF(Import.TipoArredondamento&lt;&gt;"TransfereGOV",
ROUND(OFFSET($P55,0,AL$13),15-13*ORÇAMENTO!$AF$7)/$H55*OFFSET(ORÇAMENTO!$X$15,ROW(AL55)-ROW(AL$15),0),
ROUND(ROUND(OFFSET($P55,0,AL$13),15-13*ORÇAMENTO!$AF$7)*OFFSET(ORÇAMENTO!$W$15,ROW(AL55)-ROW(AL$15),0),15-13*ORÇAMENTO!$AF$11)),0)</f>
        <v>0</v>
      </c>
      <c r="AM55" s="631">
        <f ca="1">IF(AND($D55="Serviço",AM$12&lt;&gt;0,$H55&gt;0,OR(AUTOEVENTO&lt;&gt;"manual",$M55&lt;&gt;1)),
IF(Import.TipoArredondamento&lt;&gt;"TransfereGOV",
ROUND(OFFSET($P55,0,AM$13),15-13*ORÇAMENTO!$AF$7)/$H55*OFFSET(ORÇAMENTO!$X$15,ROW(AM55)-ROW(AM$15),0),
ROUND(ROUND(OFFSET($P55,0,AM$13),15-13*ORÇAMENTO!$AF$7)*OFFSET(ORÇAMENTO!$W$15,ROW(AM55)-ROW(AM$15),0),15-13*ORÇAMENTO!$AF$11)),0)</f>
        <v>0</v>
      </c>
      <c r="AN55" s="631">
        <f ca="1">IF(AND($D55="Serviço",AN$12&lt;&gt;0,$H55&gt;0,OR(AUTOEVENTO&lt;&gt;"manual",$M55&lt;&gt;1)),
IF(Import.TipoArredondamento&lt;&gt;"TransfereGOV",
ROUND(OFFSET($P55,0,AN$13),15-13*ORÇAMENTO!$AF$7)/$H55*OFFSET(ORÇAMENTO!$X$15,ROW(AN55)-ROW(AN$15),0),
ROUND(ROUND(OFFSET($P55,0,AN$13),15-13*ORÇAMENTO!$AF$7)*OFFSET(ORÇAMENTO!$W$15,ROW(AN55)-ROW(AN$15),0),15-13*ORÇAMENTO!$AF$11)),0)</f>
        <v>0</v>
      </c>
      <c r="AO55" s="631">
        <f ca="1">IF(AND($D55="Serviço",AO$12&lt;&gt;0,$H55&gt;0,OR(AUTOEVENTO&lt;&gt;"manual",$M55&lt;&gt;1)),
IF(Import.TipoArredondamento&lt;&gt;"TransfereGOV",
ROUND(OFFSET($P55,0,AO$13),15-13*ORÇAMENTO!$AF$7)/$H55*OFFSET(ORÇAMENTO!$X$15,ROW(AO55)-ROW(AO$15),0),
ROUND(ROUND(OFFSET($P55,0,AO$13),15-13*ORÇAMENTO!$AF$7)*OFFSET(ORÇAMENTO!$W$15,ROW(AO55)-ROW(AO$15),0),15-13*ORÇAMENTO!$AF$11)),0)</f>
        <v>0</v>
      </c>
      <c r="AP55" s="631">
        <f ca="1">IF(AND($D55="Serviço",AP$12&lt;&gt;0,$H55&gt;0,OR(AUTOEVENTO&lt;&gt;"manual",$M55&lt;&gt;1)),
IF(Import.TipoArredondamento&lt;&gt;"TransfereGOV",
ROUND(OFFSET($P55,0,AP$13),15-13*ORÇAMENTO!$AF$7)/$H55*OFFSET(ORÇAMENTO!$X$15,ROW(AP55)-ROW(AP$15),0),
ROUND(ROUND(OFFSET($P55,0,AP$13),15-13*ORÇAMENTO!$AF$7)*OFFSET(ORÇAMENTO!$W$15,ROW(AP55)-ROW(AP$15),0),15-13*ORÇAMENTO!$AF$11)),0)</f>
        <v>0</v>
      </c>
      <c r="AQ55" s="631">
        <f ca="1">IF(AND($D55="Serviço",AQ$12&lt;&gt;0,$H55&gt;0,OR(AUTOEVENTO&lt;&gt;"manual",$M55&lt;&gt;1)),
IF(Import.TipoArredondamento&lt;&gt;"TransfereGOV",
ROUND(OFFSET($P55,0,AQ$13),15-13*ORÇAMENTO!$AF$7)/$H55*OFFSET(ORÇAMENTO!$X$15,ROW(AQ55)-ROW(AQ$15),0),
ROUND(ROUND(OFFSET($P55,0,AQ$13),15-13*ORÇAMENTO!$AF$7)*OFFSET(ORÇAMENTO!$W$15,ROW(AQ55)-ROW(AQ$15),0),15-13*ORÇAMENTO!$AF$11)),0)</f>
        <v>0</v>
      </c>
      <c r="AR55" s="631">
        <f ca="1">IF(AND($D55="Serviço",AR$12&lt;&gt;0,$H55&gt;0,OR(AUTOEVENTO&lt;&gt;"manual",$M55&lt;&gt;1)),
IF(Import.TipoArredondamento&lt;&gt;"TransfereGOV",
ROUND(OFFSET($P55,0,AR$13),15-13*ORÇAMENTO!$AF$7)/$H55*OFFSET(ORÇAMENTO!$X$15,ROW(AR55)-ROW(AR$15),0),
ROUND(ROUND(OFFSET($P55,0,AR$13),15-13*ORÇAMENTO!$AF$7)*OFFSET(ORÇAMENTO!$W$15,ROW(AR55)-ROW(AR$15),0),15-13*ORÇAMENTO!$AF$11)),0)</f>
        <v>0</v>
      </c>
      <c r="AS55" s="632">
        <f ca="1">IF(AND($D55="Serviço",AS$12&lt;&gt;0,$H55&gt;0,OR(AUTOEVENTO&lt;&gt;"manual",$M55&lt;&gt;1)),
IF(Import.TipoArredondamento&lt;&gt;"TransfereGOV",
ROUND(OFFSET($P55,0,AS$13),15-13*ORÇAMENTO!$AF$7)/$H55*OFFSET(ORÇAMENTO!$X$15,ROW(AS55)-ROW(AS$15),0),
ROUND(ROUND(OFFSET($P55,0,AS$13),15-13*ORÇAMENTO!$AF$7)*OFFSET(ORÇAMENTO!$W$15,ROW(AS55)-ROW(AS$15),0),15-13*ORÇAMENTO!$AF$11)),0)</f>
        <v>0</v>
      </c>
      <c r="AT55" s="631">
        <f ca="1">IF(AND($D55="Serviço",AT$12&lt;&gt;0,$H55&gt;0,OR(AUTOEVENTO&lt;&gt;"manual",$M55&lt;&gt;1)),
IF(Import.TipoArredondamento&lt;&gt;"TransfereGOV",
ROUND(OFFSET($P55,0,AT$13),15-13*ORÇAMENTO!$AF$7)/$H55*OFFSET(ORÇAMENTO!$X$15,ROW(AT55)-ROW(AT$15),0),
ROUND(ROUND(OFFSET($P55,0,AT$13),15-13*ORÇAMENTO!$AF$7)*OFFSET(ORÇAMENTO!$W$15,ROW(AT55)-ROW(AT$15),0),15-13*ORÇAMENTO!$AF$11)),0)</f>
        <v>0</v>
      </c>
      <c r="AU55" s="631">
        <f ca="1">IF(AND($D55="Serviço",AU$12&lt;&gt;0,$H55&gt;0,OR(AUTOEVENTO&lt;&gt;"manual",$M55&lt;&gt;1)),
IF(Import.TipoArredondamento&lt;&gt;"TransfereGOV",
ROUND(OFFSET($P55,0,AU$13),15-13*ORÇAMENTO!$AF$7)/$H55*OFFSET(ORÇAMENTO!$X$15,ROW(AU55)-ROW(AU$15),0),
ROUND(ROUND(OFFSET($P55,0,AU$13),15-13*ORÇAMENTO!$AF$7)*OFFSET(ORÇAMENTO!$W$15,ROW(AU55)-ROW(AU$15),0),15-13*ORÇAMENTO!$AF$11)),0)</f>
        <v>0</v>
      </c>
      <c r="AV55" s="631">
        <f ca="1">IF(AND($D55="Serviço",AV$12&lt;&gt;0,$H55&gt;0,OR(AUTOEVENTO&lt;&gt;"manual",$M55&lt;&gt;1)),
IF(Import.TipoArredondamento&lt;&gt;"TransfereGOV",
ROUND(OFFSET($P55,0,AV$13),15-13*ORÇAMENTO!$AF$7)/$H55*OFFSET(ORÇAMENTO!$X$15,ROW(AV55)-ROW(AV$15),0),
ROUND(ROUND(OFFSET($P55,0,AV$13),15-13*ORÇAMENTO!$AF$7)*OFFSET(ORÇAMENTO!$W$15,ROW(AV55)-ROW(AV$15),0),15-13*ORÇAMENTO!$AF$11)),0)</f>
        <v>0</v>
      </c>
      <c r="AW55" s="631">
        <f ca="1">IF(AND($D55="Serviço",AW$12&lt;&gt;0,$H55&gt;0,OR(AUTOEVENTO&lt;&gt;"manual",$M55&lt;&gt;1)),
IF(Import.TipoArredondamento&lt;&gt;"TransfereGOV",
ROUND(OFFSET($P55,0,AW$13),15-13*ORÇAMENTO!$AF$7)/$H55*OFFSET(ORÇAMENTO!$X$15,ROW(AW55)-ROW(AW$15),0),
ROUND(ROUND(OFFSET($P55,0,AW$13),15-13*ORÇAMENTO!$AF$7)*OFFSET(ORÇAMENTO!$W$15,ROW(AW55)-ROW(AW$15),0),15-13*ORÇAMENTO!$AF$11)),0)</f>
        <v>0</v>
      </c>
      <c r="AX55" s="631">
        <f ca="1">IF(AND($D55="Serviço",AX$12&lt;&gt;0,$H55&gt;0,OR(AUTOEVENTO&lt;&gt;"manual",$M55&lt;&gt;1)),
IF(Import.TipoArredondamento&lt;&gt;"TransfereGOV",
ROUND(OFFSET($P55,0,AX$13),15-13*ORÇAMENTO!$AF$7)/$H55*OFFSET(ORÇAMENTO!$X$15,ROW(AX55)-ROW(AX$15),0),
ROUND(ROUND(OFFSET($P55,0,AX$13),15-13*ORÇAMENTO!$AF$7)*OFFSET(ORÇAMENTO!$W$15,ROW(AX55)-ROW(AX$15),0),15-13*ORÇAMENTO!$AF$11)),0)</f>
        <v>0</v>
      </c>
      <c r="AY55" s="631">
        <f ca="1">IF(AND($D55="Serviço",AY$12&lt;&gt;0,$H55&gt;0,OR(AUTOEVENTO&lt;&gt;"manual",$M55&lt;&gt;1)),
IF(Import.TipoArredondamento&lt;&gt;"TransfereGOV",
ROUND(OFFSET($P55,0,AY$13),15-13*ORÇAMENTO!$AF$7)/$H55*OFFSET(ORÇAMENTO!$X$15,ROW(AY55)-ROW(AY$15),0),
ROUND(ROUND(OFFSET($P55,0,AY$13),15-13*ORÇAMENTO!$AF$7)*OFFSET(ORÇAMENTO!$W$15,ROW(AY55)-ROW(AY$15),0),15-13*ORÇAMENTO!$AF$11)),0)</f>
        <v>0</v>
      </c>
      <c r="AZ55" s="631">
        <f ca="1">IF(AND($D55="Serviço",AZ$12&lt;&gt;0,$H55&gt;0,OR(AUTOEVENTO&lt;&gt;"manual",$M55&lt;&gt;1)),
IF(Import.TipoArredondamento&lt;&gt;"TransfereGOV",
ROUND(OFFSET($P55,0,AZ$13),15-13*ORÇAMENTO!$AF$7)/$H55*OFFSET(ORÇAMENTO!$X$15,ROW(AZ55)-ROW(AZ$15),0),
ROUND(ROUND(OFFSET($P55,0,AZ$13),15-13*ORÇAMENTO!$AF$7)*OFFSET(ORÇAMENTO!$W$15,ROW(AZ55)-ROW(AZ$15),0),15-13*ORÇAMENTO!$AF$11)),0)</f>
        <v>0</v>
      </c>
      <c r="BA55" s="632">
        <f ca="1">IF(AND($D55="Serviço",BA$12&lt;&gt;0,$H55&gt;0,OR(AUTOEVENTO&lt;&gt;"manual",$M55&lt;&gt;1)),
IF(Import.TipoArredondamento&lt;&gt;"TransfereGOV",
ROUND(OFFSET($P55,0,BA$13),15-13*ORÇAMENTO!$AF$7)/$H55*OFFSET(ORÇAMENTO!$X$15,ROW(BA55)-ROW(BA$15),0),
ROUND(ROUND(OFFSET($P55,0,BA$13),15-13*ORÇAMENTO!$AF$7)*OFFSET(ORÇAMENTO!$W$15,ROW(BA55)-ROW(BA$15),0),15-13*ORÇAMENTO!$AF$11)),0)</f>
        <v>0</v>
      </c>
      <c r="BC55" s="216">
        <f ca="1">IF($D55&lt;&gt;"Serviço",0,IF(AND(AUTOEVENTO="Manual",$M55=1),0,IF(OFFSET(CRONOPLE!$F$14,$M55,BC$13)="",10^12,OFFSET(CRONOPLE!$F$14,$M55,BC$13))))</f>
        <v>1000000000000</v>
      </c>
      <c r="BD55" s="216">
        <f ca="1">IF($D55&lt;&gt;"Serviço",0,IF(AND(AUTOEVENTO="Manual",$M55=1),0,IF(OFFSET(CRONOPLE!$F$14,$M55,BD$13)="",10^12,OFFSET(CRONOPLE!$F$14,$M55,BD$13))))</f>
        <v>1000000000000</v>
      </c>
      <c r="BE55" s="216">
        <f ca="1">IF($D55&lt;&gt;"Serviço",0,IF(AND(AUTOEVENTO="Manual",$M55=1),0,IF(OFFSET(CRONOPLE!$F$14,$M55,BE$13)="",10^12,OFFSET(CRONOPLE!$F$14,$M55,BE$13))))</f>
        <v>1000000000000</v>
      </c>
      <c r="BF55" s="216">
        <f ca="1">IF($D55&lt;&gt;"Serviço",0,IF(AND(AUTOEVENTO="Manual",$M55=1),0,IF(OFFSET(CRONOPLE!$F$14,$M55,BF$13)="",10^12,OFFSET(CRONOPLE!$F$14,$M55,BF$13))))</f>
        <v>1000000000000</v>
      </c>
      <c r="BG55" s="216">
        <f ca="1">IF($D55&lt;&gt;"Serviço",0,IF(AND(AUTOEVENTO="Manual",$M55=1),0,IF(OFFSET(CRONOPLE!$F$14,$M55,BG$13)="",10^12,OFFSET(CRONOPLE!$F$14,$M55,BG$13))))</f>
        <v>1000000000000</v>
      </c>
      <c r="BH55" s="216">
        <f ca="1">IF($D55&lt;&gt;"Serviço",0,IF(AND(AUTOEVENTO="Manual",$M55=1),0,IF(OFFSET(CRONOPLE!$F$14,$M55,BH$13)="",10^12,OFFSET(CRONOPLE!$F$14,$M55,BH$13))))</f>
        <v>3</v>
      </c>
      <c r="BI55" s="216">
        <f ca="1">IF($D55&lt;&gt;"Serviço",0,IF(AND(AUTOEVENTO="Manual",$M55=1),0,IF(OFFSET(CRONOPLE!$F$14,$M55,BI$13)="",10^12,OFFSET(CRONOPLE!$F$14,$M55,BI$13))))</f>
        <v>1000000000000</v>
      </c>
      <c r="BJ55" s="216">
        <f ca="1">IF($D55&lt;&gt;"Serviço",0,IF(AND(AUTOEVENTO="Manual",$M55=1),0,IF(OFFSET(CRONOPLE!$F$14,$M55,BJ$13)="",10^12,OFFSET(CRONOPLE!$F$14,$M55,BJ$13))))</f>
        <v>1000000000000</v>
      </c>
      <c r="BK55" s="216">
        <f ca="1">IF($D55&lt;&gt;"Serviço",0,IF(AND(AUTOEVENTO="Manual",$M55=1),0,IF(OFFSET(CRONOPLE!$F$14,$M55,BK$13)="",10^12,OFFSET(CRONOPLE!$F$14,$M55,BK$13))))</f>
        <v>1000000000000</v>
      </c>
      <c r="BL55" s="216">
        <f ca="1">IF($D55&lt;&gt;"Serviço",0,IF(AND(AUTOEVENTO="Manual",$M55=1),0,IF(OFFSET(CRONOPLE!$F$14,$M55,BL$13)="",10^12,OFFSET(CRONOPLE!$F$14,$M55,BL$13))))</f>
        <v>1000000000000</v>
      </c>
      <c r="BM55" s="216">
        <f ca="1">IF($D55&lt;&gt;"Serviço",0,IF(AND(AUTOEVENTO="Manual",$M55=1),0,IF(OFFSET(CRONOPLE!$F$14,$M55,BM$13)="",10^12,OFFSET(CRONOPLE!$F$14,$M55,BM$13))))</f>
        <v>1000000000000</v>
      </c>
      <c r="BN55" s="216">
        <f ca="1">IF($D55&lt;&gt;"Serviço",0,IF(AND(AUTOEVENTO="Manual",$M55=1),0,IF(OFFSET(CRONOPLE!$F$14,$M55,BN$13)="",10^12,OFFSET(CRONOPLE!$F$14,$M55,BN$13))))</f>
        <v>1000000000000</v>
      </c>
      <c r="BO55" s="216">
        <f ca="1">IF($D55&lt;&gt;"Serviço",0,IF(AND(AUTOEVENTO="Manual",$M55=1),0,IF(OFFSET(CRONOPLE!$F$14,$M55,BO$13)="",10^12,OFFSET(CRONOPLE!$F$14,$M55,BO$13))))</f>
        <v>1000000000000</v>
      </c>
      <c r="BP55" s="216">
        <f ca="1">IF($D55&lt;&gt;"Serviço",0,IF(AND(AUTOEVENTO="Manual",$M55=1),0,IF(OFFSET(CRONOPLE!$F$14,$M55,BP$13)="",10^12,OFFSET(CRONOPLE!$F$14,$M55,BP$13))))</f>
        <v>1000000000000</v>
      </c>
      <c r="BQ55" s="216">
        <f ca="1">IF($D55&lt;&gt;"Serviço",0,IF(AND(AUTOEVENTO="Manual",$M55=1),0,IF(OFFSET(CRONOPLE!$F$14,$M55,BQ$13)="",10^12,OFFSET(CRONOPLE!$F$14,$M55,BQ$13))))</f>
        <v>1000000000000</v>
      </c>
      <c r="BR55" s="216">
        <f ca="1">IF($D55&lt;&gt;"Serviço",0,IF(AND(AUTOEVENTO="Manual",$M55=1),0,IF(OFFSET(CRONOPLE!$F$14,$M55,BR$13)="",10^12,OFFSET(CRONOPLE!$F$14,$M55,BR$13))))</f>
        <v>1000000000000</v>
      </c>
      <c r="BS55" s="216">
        <f ca="1">IF($D55&lt;&gt;"Serviço",0,IF(AND(AUTOEVENTO="Manual",$M55=1),0,IF(OFFSET(CRONOPLE!$F$14,$M55,BS$13)="",10^12,OFFSET(CRONOPLE!$F$14,$M55,BS$13))))</f>
        <v>1000000000000</v>
      </c>
      <c r="BT55" s="216">
        <f ca="1">IF($D55&lt;&gt;"Serviço",0,IF(AND(AUTOEVENTO="Manual",$M55=1),0,IF(OFFSET(CRONOPLE!$F$14,$M55,BT$13)="",10^12,OFFSET(CRONOPLE!$F$14,$M55,BT$13))))</f>
        <v>1000000000000</v>
      </c>
      <c r="BV55" s="217">
        <f ca="1">IF($D55&lt;&gt;"Serviço",0,IF(OR(AND(AUTOEVENTO="Manual",$M55=1),$M55&gt;(ROW(PLE.lastrow)-ROW(PLE.firstrow))),0,IF(OFFSET(PLE!$G$14,$M55,BV$13)="",10^12,OFFSET(PLE!$G$14,$M55,BV$13))))</f>
        <v>1000000000000</v>
      </c>
      <c r="BW55" s="217">
        <f ca="1">IF($D55&lt;&gt;"Serviço",0,IF(OR(AND(AUTOEVENTO="Manual",$M55=1),$M55&gt;(ROW(PLE.lastrow)-ROW(PLE.firstrow))),0,IF(OFFSET(PLE!$G$14,$M55,BW$13)="",10^12,OFFSET(PLE!$G$14,$M55,BW$13))))</f>
        <v>1000000000000</v>
      </c>
      <c r="BX55" s="217">
        <f ca="1">IF($D55&lt;&gt;"Serviço",0,IF(OR(AND(AUTOEVENTO="Manual",$M55=1),$M55&gt;(ROW(PLE.lastrow)-ROW(PLE.firstrow))),0,IF(OFFSET(PLE!$G$14,$M55,BX$13)="",10^12,OFFSET(PLE!$G$14,$M55,BX$13))))</f>
        <v>1000000000000</v>
      </c>
      <c r="BY55" s="217">
        <f ca="1">IF($D55&lt;&gt;"Serviço",0,IF(OR(AND(AUTOEVENTO="Manual",$M55=1),$M55&gt;(ROW(PLE.lastrow)-ROW(PLE.firstrow))),0,IF(OFFSET(PLE!$G$14,$M55,BY$13)="",10^12,OFFSET(PLE!$G$14,$M55,BY$13))))</f>
        <v>1000000000000</v>
      </c>
      <c r="BZ55" s="217">
        <f ca="1">IF($D55&lt;&gt;"Serviço",0,IF(OR(AND(AUTOEVENTO="Manual",$M55=1),$M55&gt;(ROW(PLE.lastrow)-ROW(PLE.firstrow))),0,IF(OFFSET(PLE!$G$14,$M55,BZ$13)="",10^12,OFFSET(PLE!$G$14,$M55,BZ$13))))</f>
        <v>1000000000000</v>
      </c>
      <c r="CA55" s="217">
        <f ca="1">IF($D55&lt;&gt;"Serviço",0,IF(OR(AND(AUTOEVENTO="Manual",$M55=1),$M55&gt;(ROW(PLE.lastrow)-ROW(PLE.firstrow))),0,IF(OFFSET(PLE!$G$14,$M55,CA$13)="",10^12,OFFSET(PLE!$G$14,$M55,CA$13))))</f>
        <v>1000000000000</v>
      </c>
      <c r="CB55" s="217">
        <f ca="1">IF($D55&lt;&gt;"Serviço",0,IF(OR(AND(AUTOEVENTO="Manual",$M55=1),$M55&gt;(ROW(PLE.lastrow)-ROW(PLE.firstrow))),0,IF(OFFSET(PLE!$G$14,$M55,CB$13)="",10^12,OFFSET(PLE!$G$14,$M55,CB$13))))</f>
        <v>1000000000000</v>
      </c>
      <c r="CC55" s="217">
        <f ca="1">IF($D55&lt;&gt;"Serviço",0,IF(OR(AND(AUTOEVENTO="Manual",$M55=1),$M55&gt;(ROW(PLE.lastrow)-ROW(PLE.firstrow))),0,IF(OFFSET(PLE!$G$14,$M55,CC$13)="",10^12,OFFSET(PLE!$G$14,$M55,CC$13))))</f>
        <v>1000000000000</v>
      </c>
      <c r="CD55" s="217">
        <f ca="1">IF($D55&lt;&gt;"Serviço",0,IF(OR(AND(AUTOEVENTO="Manual",$M55=1),$M55&gt;(ROW(PLE.lastrow)-ROW(PLE.firstrow))),0,IF(OFFSET(PLE!$G$14,$M55,CD$13)="",10^12,OFFSET(PLE!$G$14,$M55,CD$13))))</f>
        <v>1000000000000</v>
      </c>
      <c r="CE55" s="217">
        <f ca="1">IF($D55&lt;&gt;"Serviço",0,IF(OR(AND(AUTOEVENTO="Manual",$M55=1),$M55&gt;(ROW(PLE.lastrow)-ROW(PLE.firstrow))),0,IF(OFFSET(PLE!$G$14,$M55,CE$13)="",10^12,OFFSET(PLE!$G$14,$M55,CE$13))))</f>
        <v>1000000000000</v>
      </c>
      <c r="CF55" s="217">
        <f ca="1">IF($D55&lt;&gt;"Serviço",0,IF(OR(AND(AUTOEVENTO="Manual",$M55=1),$M55&gt;(ROW(PLE.lastrow)-ROW(PLE.firstrow))),0,IF(OFFSET(PLE!$G$14,$M55,CF$13)="",10^12,OFFSET(PLE!$G$14,$M55,CF$13))))</f>
        <v>1000000000000</v>
      </c>
      <c r="CG55" s="217">
        <f ca="1">IF($D55&lt;&gt;"Serviço",0,IF(OR(AND(AUTOEVENTO="Manual",$M55=1),$M55&gt;(ROW(PLE.lastrow)-ROW(PLE.firstrow))),0,IF(OFFSET(PLE!$G$14,$M55,CG$13)="",10^12,OFFSET(PLE!$G$14,$M55,CG$13))))</f>
        <v>1000000000000</v>
      </c>
      <c r="CH55" s="217">
        <f ca="1">IF($D55&lt;&gt;"Serviço",0,IF(OR(AND(AUTOEVENTO="Manual",$M55=1),$M55&gt;(ROW(PLE.lastrow)-ROW(PLE.firstrow))),0,IF(OFFSET(PLE!$G$14,$M55,CH$13)="",10^12,OFFSET(PLE!$G$14,$M55,CH$13))))</f>
        <v>1000000000000</v>
      </c>
      <c r="CI55" s="217">
        <f ca="1">IF($D55&lt;&gt;"Serviço",0,IF(OR(AND(AUTOEVENTO="Manual",$M55=1),$M55&gt;(ROW(PLE.lastrow)-ROW(PLE.firstrow))),0,IF(OFFSET(PLE!$G$14,$M55,CI$13)="",10^12,OFFSET(PLE!$G$14,$M55,CI$13))))</f>
        <v>1000000000000</v>
      </c>
      <c r="CJ55" s="217">
        <f ca="1">IF($D55&lt;&gt;"Serviço",0,IF(OR(AND(AUTOEVENTO="Manual",$M55=1),$M55&gt;(ROW(PLE.lastrow)-ROW(PLE.firstrow))),0,IF(OFFSET(PLE!$G$14,$M55,CJ$13)="",10^12,OFFSET(PLE!$G$14,$M55,CJ$13))))</f>
        <v>1000000000000</v>
      </c>
      <c r="CK55" s="217">
        <f ca="1">IF($D55&lt;&gt;"Serviço",0,IF(OR(AND(AUTOEVENTO="Manual",$M55=1),$M55&gt;(ROW(PLE.lastrow)-ROW(PLE.firstrow))),0,IF(OFFSET(PLE!$G$14,$M55,CK$13)="",10^12,OFFSET(PLE!$G$14,$M55,CK$13))))</f>
        <v>1000000000000</v>
      </c>
      <c r="CL55" s="217">
        <f ca="1">IF($D55&lt;&gt;"Serviço",0,IF(OR(AND(AUTOEVENTO="Manual",$M55=1),$M55&gt;(ROW(PLE.lastrow)-ROW(PLE.firstrow))),0,IF(OFFSET(PLE!$G$14,$M55,CL$13)="",10^12,OFFSET(PLE!$G$14,$M55,CL$13))))</f>
        <v>1000000000000</v>
      </c>
      <c r="CM55" s="217">
        <f ca="1">IF($D55&lt;&gt;"Serviço",0,IF(OR(AND(AUTOEVENTO="Manual",$M55=1),$M55&gt;(ROW(PLE.lastrow)-ROW(PLE.firstrow))),0,IF(OFFSET(PLE!$G$14,$M55,CM$13)="",10^12,OFFSET(PLE!$G$14,$M55,CM$13))))</f>
        <v>1000000000000</v>
      </c>
    </row>
    <row r="56" spans="1:91" ht="25.5" x14ac:dyDescent="0.2">
      <c r="A56" s="9" t="str">
        <f t="shared" ca="1" si="9"/>
        <v>34</v>
      </c>
      <c r="B56" s="9" t="str">
        <f ca="1">OFFSET(ORÇAMENTO!C$15,ROW(B56)-ROW(B$15),0)</f>
        <v>S</v>
      </c>
      <c r="C56" s="9" t="str">
        <f ca="1">OFFSET(ORÇAMENTO!L$15,ROW(C56)-ROW(C$15),0)</f>
        <v/>
      </c>
      <c r="D56" s="146" t="str">
        <f ca="1">OFFSET(ORÇAMENTO!N$15,ROW(D56)-ROW(D$15),0)</f>
        <v>Serviço</v>
      </c>
      <c r="E56" s="206" t="str">
        <f ca="1">OFFSET(ORÇAMENTO!O$15,ROW(E56)-ROW(E$15),0)</f>
        <v>-</v>
      </c>
      <c r="F56" s="207" t="str">
        <f ca="1">OFFSET(ORÇAMENTO!R$15,ROW(F56)-ROW(F$15),0)</f>
        <v>(abra o arquivo 'Referência 12-2023.xlsm)</v>
      </c>
      <c r="G56" s="208" t="str">
        <f ca="1">IF($D56&lt;&gt;"Serviço","",OFFSET(ORÇAMENTO!S$15,ROW(G56)-ROW(G$15),0))</f>
        <v>-</v>
      </c>
      <c r="H56" s="152">
        <f ca="1">IF($D56&lt;&gt;"Serviço",0,IF(ACOMPANHAMENTO="BM",ROUND(OFFSET(ORÇAMENTO!AJ$15,ROW(H56)-ROW(H$15),0),15-13*ORÇAMENTO!$AF$7),SUMPRODUCT(($Q$12:$AI$12&lt;&gt;"")*ROUND($Q56:$AI56,15-13*ORÇAMENTO!$AF$7))))</f>
        <v>3</v>
      </c>
      <c r="I56" s="649" t="s">
        <v>504</v>
      </c>
      <c r="K56" s="209"/>
      <c r="L56" s="210" t="s">
        <v>255</v>
      </c>
      <c r="M56" s="211">
        <f ca="1">IF($D56&lt;&gt;"Serviço","",IF(AUTOEVENTO="manual",$A56,IF(ISERROR(MATCH($A56,$A$15:OFFSET($A56,-1,0),0)),MAX($M$15:OFFSET(M56,-1,0))+1,INDEX($M$15:OFFSET(M56,-1,0),MATCH($A56,$A$15:OFFSET($A56,-1,0),0)))))</f>
        <v>9</v>
      </c>
      <c r="N56" s="212" t="str">
        <f ca="1">IF($D56&lt;&gt;"Serviço","",IF(AUTOEVENTO="Manual",IF($A56=0,"&lt;-- defina o número do agrupador",OFFSET(EVENTOS!$D$14,$A56,0)),OFFSET($F$15,$A56,0)))</f>
        <v xml:space="preserve">DRENAGEM </v>
      </c>
      <c r="O56" s="213"/>
      <c r="Q56" s="213"/>
      <c r="R56" s="214"/>
      <c r="S56" s="214"/>
      <c r="T56" s="214"/>
      <c r="U56" s="214"/>
      <c r="V56" s="214">
        <v>3</v>
      </c>
      <c r="W56" s="214"/>
      <c r="X56" s="214"/>
      <c r="Y56" s="214"/>
      <c r="Z56" s="215"/>
      <c r="AA56" s="214"/>
      <c r="AB56" s="214"/>
      <c r="AC56" s="214"/>
      <c r="AD56" s="214"/>
      <c r="AE56" s="214"/>
      <c r="AF56" s="214"/>
      <c r="AG56" s="214"/>
      <c r="AH56" s="215"/>
      <c r="AJ56" s="630">
        <f ca="1">IF(AND($D56="Serviço",AJ$12&lt;&gt;0,$H56&gt;0,OR(AUTOEVENTO&lt;&gt;"manual",$M56&lt;&gt;1)),
IF(Import.TipoArredondamento&lt;&gt;"TransfereGOV",
ROUND(OFFSET($P56,0,AJ$13),15-13*ORÇAMENTO!$AF$7)/$H56*OFFSET(ORÇAMENTO!$X$15,ROW(AJ56)-ROW(AJ$15),0),
ROUND(ROUND(OFFSET($P56,0,AJ$13),15-13*ORÇAMENTO!$AF$7)*OFFSET(ORÇAMENTO!$W$15,ROW(AJ56)-ROW(AJ$15),0),15-13*ORÇAMENTO!$AF$11)),0)</f>
        <v>0</v>
      </c>
      <c r="AK56" s="631">
        <f ca="1">IF(AND($D56="Serviço",AK$12&lt;&gt;0,$H56&gt;0,OR(AUTOEVENTO&lt;&gt;"manual",$M56&lt;&gt;1)),
IF(Import.TipoArredondamento&lt;&gt;"TransfereGOV",
ROUND(OFFSET($P56,0,AK$13),15-13*ORÇAMENTO!$AF$7)/$H56*OFFSET(ORÇAMENTO!$X$15,ROW(AK56)-ROW(AK$15),0),
ROUND(ROUND(OFFSET($P56,0,AK$13),15-13*ORÇAMENTO!$AF$7)*OFFSET(ORÇAMENTO!$W$15,ROW(AK56)-ROW(AK$15),0),15-13*ORÇAMENTO!$AF$11)),0)</f>
        <v>0</v>
      </c>
      <c r="AL56" s="631">
        <f ca="1">IF(AND($D56="Serviço",AL$12&lt;&gt;0,$H56&gt;0,OR(AUTOEVENTO&lt;&gt;"manual",$M56&lt;&gt;1)),
IF(Import.TipoArredondamento&lt;&gt;"TransfereGOV",
ROUND(OFFSET($P56,0,AL$13),15-13*ORÇAMENTO!$AF$7)/$H56*OFFSET(ORÇAMENTO!$X$15,ROW(AL56)-ROW(AL$15),0),
ROUND(ROUND(OFFSET($P56,0,AL$13),15-13*ORÇAMENTO!$AF$7)*OFFSET(ORÇAMENTO!$W$15,ROW(AL56)-ROW(AL$15),0),15-13*ORÇAMENTO!$AF$11)),0)</f>
        <v>0</v>
      </c>
      <c r="AM56" s="631">
        <f ca="1">IF(AND($D56="Serviço",AM$12&lt;&gt;0,$H56&gt;0,OR(AUTOEVENTO&lt;&gt;"manual",$M56&lt;&gt;1)),
IF(Import.TipoArredondamento&lt;&gt;"TransfereGOV",
ROUND(OFFSET($P56,0,AM$13),15-13*ORÇAMENTO!$AF$7)/$H56*OFFSET(ORÇAMENTO!$X$15,ROW(AM56)-ROW(AM$15),0),
ROUND(ROUND(OFFSET($P56,0,AM$13),15-13*ORÇAMENTO!$AF$7)*OFFSET(ORÇAMENTO!$W$15,ROW(AM56)-ROW(AM$15),0),15-13*ORÇAMENTO!$AF$11)),0)</f>
        <v>0</v>
      </c>
      <c r="AN56" s="631">
        <f ca="1">IF(AND($D56="Serviço",AN$12&lt;&gt;0,$H56&gt;0,OR(AUTOEVENTO&lt;&gt;"manual",$M56&lt;&gt;1)),
IF(Import.TipoArredondamento&lt;&gt;"TransfereGOV",
ROUND(OFFSET($P56,0,AN$13),15-13*ORÇAMENTO!$AF$7)/$H56*OFFSET(ORÇAMENTO!$X$15,ROW(AN56)-ROW(AN$15),0),
ROUND(ROUND(OFFSET($P56,0,AN$13),15-13*ORÇAMENTO!$AF$7)*OFFSET(ORÇAMENTO!$W$15,ROW(AN56)-ROW(AN$15),0),15-13*ORÇAMENTO!$AF$11)),0)</f>
        <v>0</v>
      </c>
      <c r="AO56" s="631">
        <f ca="1">IF(AND($D56="Serviço",AO$12&lt;&gt;0,$H56&gt;0,OR(AUTOEVENTO&lt;&gt;"manual",$M56&lt;&gt;1)),
IF(Import.TipoArredondamento&lt;&gt;"TransfereGOV",
ROUND(OFFSET($P56,0,AO$13),15-13*ORÇAMENTO!$AF$7)/$H56*OFFSET(ORÇAMENTO!$X$15,ROW(AO56)-ROW(AO$15),0),
ROUND(ROUND(OFFSET($P56,0,AO$13),15-13*ORÇAMENTO!$AF$7)*OFFSET(ORÇAMENTO!$W$15,ROW(AO56)-ROW(AO$15),0),15-13*ORÇAMENTO!$AF$11)),0)</f>
        <v>0</v>
      </c>
      <c r="AP56" s="631">
        <f ca="1">IF(AND($D56="Serviço",AP$12&lt;&gt;0,$H56&gt;0,OR(AUTOEVENTO&lt;&gt;"manual",$M56&lt;&gt;1)),
IF(Import.TipoArredondamento&lt;&gt;"TransfereGOV",
ROUND(OFFSET($P56,0,AP$13),15-13*ORÇAMENTO!$AF$7)/$H56*OFFSET(ORÇAMENTO!$X$15,ROW(AP56)-ROW(AP$15),0),
ROUND(ROUND(OFFSET($P56,0,AP$13),15-13*ORÇAMENTO!$AF$7)*OFFSET(ORÇAMENTO!$W$15,ROW(AP56)-ROW(AP$15),0),15-13*ORÇAMENTO!$AF$11)),0)</f>
        <v>0</v>
      </c>
      <c r="AQ56" s="631">
        <f ca="1">IF(AND($D56="Serviço",AQ$12&lt;&gt;0,$H56&gt;0,OR(AUTOEVENTO&lt;&gt;"manual",$M56&lt;&gt;1)),
IF(Import.TipoArredondamento&lt;&gt;"TransfereGOV",
ROUND(OFFSET($P56,0,AQ$13),15-13*ORÇAMENTO!$AF$7)/$H56*OFFSET(ORÇAMENTO!$X$15,ROW(AQ56)-ROW(AQ$15),0),
ROUND(ROUND(OFFSET($P56,0,AQ$13),15-13*ORÇAMENTO!$AF$7)*OFFSET(ORÇAMENTO!$W$15,ROW(AQ56)-ROW(AQ$15),0),15-13*ORÇAMENTO!$AF$11)),0)</f>
        <v>0</v>
      </c>
      <c r="AR56" s="631">
        <f ca="1">IF(AND($D56="Serviço",AR$12&lt;&gt;0,$H56&gt;0,OR(AUTOEVENTO&lt;&gt;"manual",$M56&lt;&gt;1)),
IF(Import.TipoArredondamento&lt;&gt;"TransfereGOV",
ROUND(OFFSET($P56,0,AR$13),15-13*ORÇAMENTO!$AF$7)/$H56*OFFSET(ORÇAMENTO!$X$15,ROW(AR56)-ROW(AR$15),0),
ROUND(ROUND(OFFSET($P56,0,AR$13),15-13*ORÇAMENTO!$AF$7)*OFFSET(ORÇAMENTO!$W$15,ROW(AR56)-ROW(AR$15),0),15-13*ORÇAMENTO!$AF$11)),0)</f>
        <v>0</v>
      </c>
      <c r="AS56" s="632">
        <f ca="1">IF(AND($D56="Serviço",AS$12&lt;&gt;0,$H56&gt;0,OR(AUTOEVENTO&lt;&gt;"manual",$M56&lt;&gt;1)),
IF(Import.TipoArredondamento&lt;&gt;"TransfereGOV",
ROUND(OFFSET($P56,0,AS$13),15-13*ORÇAMENTO!$AF$7)/$H56*OFFSET(ORÇAMENTO!$X$15,ROW(AS56)-ROW(AS$15),0),
ROUND(ROUND(OFFSET($P56,0,AS$13),15-13*ORÇAMENTO!$AF$7)*OFFSET(ORÇAMENTO!$W$15,ROW(AS56)-ROW(AS$15),0),15-13*ORÇAMENTO!$AF$11)),0)</f>
        <v>0</v>
      </c>
      <c r="AT56" s="631">
        <f ca="1">IF(AND($D56="Serviço",AT$12&lt;&gt;0,$H56&gt;0,OR(AUTOEVENTO&lt;&gt;"manual",$M56&lt;&gt;1)),
IF(Import.TipoArredondamento&lt;&gt;"TransfereGOV",
ROUND(OFFSET($P56,0,AT$13),15-13*ORÇAMENTO!$AF$7)/$H56*OFFSET(ORÇAMENTO!$X$15,ROW(AT56)-ROW(AT$15),0),
ROUND(ROUND(OFFSET($P56,0,AT$13),15-13*ORÇAMENTO!$AF$7)*OFFSET(ORÇAMENTO!$W$15,ROW(AT56)-ROW(AT$15),0),15-13*ORÇAMENTO!$AF$11)),0)</f>
        <v>0</v>
      </c>
      <c r="AU56" s="631">
        <f ca="1">IF(AND($D56="Serviço",AU$12&lt;&gt;0,$H56&gt;0,OR(AUTOEVENTO&lt;&gt;"manual",$M56&lt;&gt;1)),
IF(Import.TipoArredondamento&lt;&gt;"TransfereGOV",
ROUND(OFFSET($P56,0,AU$13),15-13*ORÇAMENTO!$AF$7)/$H56*OFFSET(ORÇAMENTO!$X$15,ROW(AU56)-ROW(AU$15),0),
ROUND(ROUND(OFFSET($P56,0,AU$13),15-13*ORÇAMENTO!$AF$7)*OFFSET(ORÇAMENTO!$W$15,ROW(AU56)-ROW(AU$15),0),15-13*ORÇAMENTO!$AF$11)),0)</f>
        <v>0</v>
      </c>
      <c r="AV56" s="631">
        <f ca="1">IF(AND($D56="Serviço",AV$12&lt;&gt;0,$H56&gt;0,OR(AUTOEVENTO&lt;&gt;"manual",$M56&lt;&gt;1)),
IF(Import.TipoArredondamento&lt;&gt;"TransfereGOV",
ROUND(OFFSET($P56,0,AV$13),15-13*ORÇAMENTO!$AF$7)/$H56*OFFSET(ORÇAMENTO!$X$15,ROW(AV56)-ROW(AV$15),0),
ROUND(ROUND(OFFSET($P56,0,AV$13),15-13*ORÇAMENTO!$AF$7)*OFFSET(ORÇAMENTO!$W$15,ROW(AV56)-ROW(AV$15),0),15-13*ORÇAMENTO!$AF$11)),0)</f>
        <v>0</v>
      </c>
      <c r="AW56" s="631">
        <f ca="1">IF(AND($D56="Serviço",AW$12&lt;&gt;0,$H56&gt;0,OR(AUTOEVENTO&lt;&gt;"manual",$M56&lt;&gt;1)),
IF(Import.TipoArredondamento&lt;&gt;"TransfereGOV",
ROUND(OFFSET($P56,0,AW$13),15-13*ORÇAMENTO!$AF$7)/$H56*OFFSET(ORÇAMENTO!$X$15,ROW(AW56)-ROW(AW$15),0),
ROUND(ROUND(OFFSET($P56,0,AW$13),15-13*ORÇAMENTO!$AF$7)*OFFSET(ORÇAMENTO!$W$15,ROW(AW56)-ROW(AW$15),0),15-13*ORÇAMENTO!$AF$11)),0)</f>
        <v>0</v>
      </c>
      <c r="AX56" s="631">
        <f ca="1">IF(AND($D56="Serviço",AX$12&lt;&gt;0,$H56&gt;0,OR(AUTOEVENTO&lt;&gt;"manual",$M56&lt;&gt;1)),
IF(Import.TipoArredondamento&lt;&gt;"TransfereGOV",
ROUND(OFFSET($P56,0,AX$13),15-13*ORÇAMENTO!$AF$7)/$H56*OFFSET(ORÇAMENTO!$X$15,ROW(AX56)-ROW(AX$15),0),
ROUND(ROUND(OFFSET($P56,0,AX$13),15-13*ORÇAMENTO!$AF$7)*OFFSET(ORÇAMENTO!$W$15,ROW(AX56)-ROW(AX$15),0),15-13*ORÇAMENTO!$AF$11)),0)</f>
        <v>0</v>
      </c>
      <c r="AY56" s="631">
        <f ca="1">IF(AND($D56="Serviço",AY$12&lt;&gt;0,$H56&gt;0,OR(AUTOEVENTO&lt;&gt;"manual",$M56&lt;&gt;1)),
IF(Import.TipoArredondamento&lt;&gt;"TransfereGOV",
ROUND(OFFSET($P56,0,AY$13),15-13*ORÇAMENTO!$AF$7)/$H56*OFFSET(ORÇAMENTO!$X$15,ROW(AY56)-ROW(AY$15),0),
ROUND(ROUND(OFFSET($P56,0,AY$13),15-13*ORÇAMENTO!$AF$7)*OFFSET(ORÇAMENTO!$W$15,ROW(AY56)-ROW(AY$15),0),15-13*ORÇAMENTO!$AF$11)),0)</f>
        <v>0</v>
      </c>
      <c r="AZ56" s="631">
        <f ca="1">IF(AND($D56="Serviço",AZ$12&lt;&gt;0,$H56&gt;0,OR(AUTOEVENTO&lt;&gt;"manual",$M56&lt;&gt;1)),
IF(Import.TipoArredondamento&lt;&gt;"TransfereGOV",
ROUND(OFFSET($P56,0,AZ$13),15-13*ORÇAMENTO!$AF$7)/$H56*OFFSET(ORÇAMENTO!$X$15,ROW(AZ56)-ROW(AZ$15),0),
ROUND(ROUND(OFFSET($P56,0,AZ$13),15-13*ORÇAMENTO!$AF$7)*OFFSET(ORÇAMENTO!$W$15,ROW(AZ56)-ROW(AZ$15),0),15-13*ORÇAMENTO!$AF$11)),0)</f>
        <v>0</v>
      </c>
      <c r="BA56" s="632">
        <f ca="1">IF(AND($D56="Serviço",BA$12&lt;&gt;0,$H56&gt;0,OR(AUTOEVENTO&lt;&gt;"manual",$M56&lt;&gt;1)),
IF(Import.TipoArredondamento&lt;&gt;"TransfereGOV",
ROUND(OFFSET($P56,0,BA$13),15-13*ORÇAMENTO!$AF$7)/$H56*OFFSET(ORÇAMENTO!$X$15,ROW(BA56)-ROW(BA$15),0),
ROUND(ROUND(OFFSET($P56,0,BA$13),15-13*ORÇAMENTO!$AF$7)*OFFSET(ORÇAMENTO!$W$15,ROW(BA56)-ROW(BA$15),0),15-13*ORÇAMENTO!$AF$11)),0)</f>
        <v>0</v>
      </c>
      <c r="BC56" s="216">
        <f ca="1">IF($D56&lt;&gt;"Serviço",0,IF(AND(AUTOEVENTO="Manual",$M56=1),0,IF(OFFSET(CRONOPLE!$F$14,$M56,BC$13)="",10^12,OFFSET(CRONOPLE!$F$14,$M56,BC$13))))</f>
        <v>1000000000000</v>
      </c>
      <c r="BD56" s="216">
        <f ca="1">IF($D56&lt;&gt;"Serviço",0,IF(AND(AUTOEVENTO="Manual",$M56=1),0,IF(OFFSET(CRONOPLE!$F$14,$M56,BD$13)="",10^12,OFFSET(CRONOPLE!$F$14,$M56,BD$13))))</f>
        <v>1000000000000</v>
      </c>
      <c r="BE56" s="216">
        <f ca="1">IF($D56&lt;&gt;"Serviço",0,IF(AND(AUTOEVENTO="Manual",$M56=1),0,IF(OFFSET(CRONOPLE!$F$14,$M56,BE$13)="",10^12,OFFSET(CRONOPLE!$F$14,$M56,BE$13))))</f>
        <v>1000000000000</v>
      </c>
      <c r="BF56" s="216">
        <f ca="1">IF($D56&lt;&gt;"Serviço",0,IF(AND(AUTOEVENTO="Manual",$M56=1),0,IF(OFFSET(CRONOPLE!$F$14,$M56,BF$13)="",10^12,OFFSET(CRONOPLE!$F$14,$M56,BF$13))))</f>
        <v>1000000000000</v>
      </c>
      <c r="BG56" s="216">
        <f ca="1">IF($D56&lt;&gt;"Serviço",0,IF(AND(AUTOEVENTO="Manual",$M56=1),0,IF(OFFSET(CRONOPLE!$F$14,$M56,BG$13)="",10^12,OFFSET(CRONOPLE!$F$14,$M56,BG$13))))</f>
        <v>1000000000000</v>
      </c>
      <c r="BH56" s="216">
        <f ca="1">IF($D56&lt;&gt;"Serviço",0,IF(AND(AUTOEVENTO="Manual",$M56=1),0,IF(OFFSET(CRONOPLE!$F$14,$M56,BH$13)="",10^12,OFFSET(CRONOPLE!$F$14,$M56,BH$13))))</f>
        <v>3</v>
      </c>
      <c r="BI56" s="216">
        <f ca="1">IF($D56&lt;&gt;"Serviço",0,IF(AND(AUTOEVENTO="Manual",$M56=1),0,IF(OFFSET(CRONOPLE!$F$14,$M56,BI$13)="",10^12,OFFSET(CRONOPLE!$F$14,$M56,BI$13))))</f>
        <v>1000000000000</v>
      </c>
      <c r="BJ56" s="216">
        <f ca="1">IF($D56&lt;&gt;"Serviço",0,IF(AND(AUTOEVENTO="Manual",$M56=1),0,IF(OFFSET(CRONOPLE!$F$14,$M56,BJ$13)="",10^12,OFFSET(CRONOPLE!$F$14,$M56,BJ$13))))</f>
        <v>1000000000000</v>
      </c>
      <c r="BK56" s="216">
        <f ca="1">IF($D56&lt;&gt;"Serviço",0,IF(AND(AUTOEVENTO="Manual",$M56=1),0,IF(OFFSET(CRONOPLE!$F$14,$M56,BK$13)="",10^12,OFFSET(CRONOPLE!$F$14,$M56,BK$13))))</f>
        <v>1000000000000</v>
      </c>
      <c r="BL56" s="216">
        <f ca="1">IF($D56&lt;&gt;"Serviço",0,IF(AND(AUTOEVENTO="Manual",$M56=1),0,IF(OFFSET(CRONOPLE!$F$14,$M56,BL$13)="",10^12,OFFSET(CRONOPLE!$F$14,$M56,BL$13))))</f>
        <v>1000000000000</v>
      </c>
      <c r="BM56" s="216">
        <f ca="1">IF($D56&lt;&gt;"Serviço",0,IF(AND(AUTOEVENTO="Manual",$M56=1),0,IF(OFFSET(CRONOPLE!$F$14,$M56,BM$13)="",10^12,OFFSET(CRONOPLE!$F$14,$M56,BM$13))))</f>
        <v>1000000000000</v>
      </c>
      <c r="BN56" s="216">
        <f ca="1">IF($D56&lt;&gt;"Serviço",0,IF(AND(AUTOEVENTO="Manual",$M56=1),0,IF(OFFSET(CRONOPLE!$F$14,$M56,BN$13)="",10^12,OFFSET(CRONOPLE!$F$14,$M56,BN$13))))</f>
        <v>1000000000000</v>
      </c>
      <c r="BO56" s="216">
        <f ca="1">IF($D56&lt;&gt;"Serviço",0,IF(AND(AUTOEVENTO="Manual",$M56=1),0,IF(OFFSET(CRONOPLE!$F$14,$M56,BO$13)="",10^12,OFFSET(CRONOPLE!$F$14,$M56,BO$13))))</f>
        <v>1000000000000</v>
      </c>
      <c r="BP56" s="216">
        <f ca="1">IF($D56&lt;&gt;"Serviço",0,IF(AND(AUTOEVENTO="Manual",$M56=1),0,IF(OFFSET(CRONOPLE!$F$14,$M56,BP$13)="",10^12,OFFSET(CRONOPLE!$F$14,$M56,BP$13))))</f>
        <v>1000000000000</v>
      </c>
      <c r="BQ56" s="216">
        <f ca="1">IF($D56&lt;&gt;"Serviço",0,IF(AND(AUTOEVENTO="Manual",$M56=1),0,IF(OFFSET(CRONOPLE!$F$14,$M56,BQ$13)="",10^12,OFFSET(CRONOPLE!$F$14,$M56,BQ$13))))</f>
        <v>1000000000000</v>
      </c>
      <c r="BR56" s="216">
        <f ca="1">IF($D56&lt;&gt;"Serviço",0,IF(AND(AUTOEVENTO="Manual",$M56=1),0,IF(OFFSET(CRONOPLE!$F$14,$M56,BR$13)="",10^12,OFFSET(CRONOPLE!$F$14,$M56,BR$13))))</f>
        <v>1000000000000</v>
      </c>
      <c r="BS56" s="216">
        <f ca="1">IF($D56&lt;&gt;"Serviço",0,IF(AND(AUTOEVENTO="Manual",$M56=1),0,IF(OFFSET(CRONOPLE!$F$14,$M56,BS$13)="",10^12,OFFSET(CRONOPLE!$F$14,$M56,BS$13))))</f>
        <v>1000000000000</v>
      </c>
      <c r="BT56" s="216">
        <f ca="1">IF($D56&lt;&gt;"Serviço",0,IF(AND(AUTOEVENTO="Manual",$M56=1),0,IF(OFFSET(CRONOPLE!$F$14,$M56,BT$13)="",10^12,OFFSET(CRONOPLE!$F$14,$M56,BT$13))))</f>
        <v>1000000000000</v>
      </c>
      <c r="BV56" s="217">
        <f ca="1">IF($D56&lt;&gt;"Serviço",0,IF(OR(AND(AUTOEVENTO="Manual",$M56=1),$M56&gt;(ROW(PLE.lastrow)-ROW(PLE.firstrow))),0,IF(OFFSET(PLE!$G$14,$M56,BV$13)="",10^12,OFFSET(PLE!$G$14,$M56,BV$13))))</f>
        <v>1000000000000</v>
      </c>
      <c r="BW56" s="217">
        <f ca="1">IF($D56&lt;&gt;"Serviço",0,IF(OR(AND(AUTOEVENTO="Manual",$M56=1),$M56&gt;(ROW(PLE.lastrow)-ROW(PLE.firstrow))),0,IF(OFFSET(PLE!$G$14,$M56,BW$13)="",10^12,OFFSET(PLE!$G$14,$M56,BW$13))))</f>
        <v>1000000000000</v>
      </c>
      <c r="BX56" s="217">
        <f ca="1">IF($D56&lt;&gt;"Serviço",0,IF(OR(AND(AUTOEVENTO="Manual",$M56=1),$M56&gt;(ROW(PLE.lastrow)-ROW(PLE.firstrow))),0,IF(OFFSET(PLE!$G$14,$M56,BX$13)="",10^12,OFFSET(PLE!$G$14,$M56,BX$13))))</f>
        <v>1000000000000</v>
      </c>
      <c r="BY56" s="217">
        <f ca="1">IF($D56&lt;&gt;"Serviço",0,IF(OR(AND(AUTOEVENTO="Manual",$M56=1),$M56&gt;(ROW(PLE.lastrow)-ROW(PLE.firstrow))),0,IF(OFFSET(PLE!$G$14,$M56,BY$13)="",10^12,OFFSET(PLE!$G$14,$M56,BY$13))))</f>
        <v>1000000000000</v>
      </c>
      <c r="BZ56" s="217">
        <f ca="1">IF($D56&lt;&gt;"Serviço",0,IF(OR(AND(AUTOEVENTO="Manual",$M56=1),$M56&gt;(ROW(PLE.lastrow)-ROW(PLE.firstrow))),0,IF(OFFSET(PLE!$G$14,$M56,BZ$13)="",10^12,OFFSET(PLE!$G$14,$M56,BZ$13))))</f>
        <v>1000000000000</v>
      </c>
      <c r="CA56" s="217">
        <f ca="1">IF($D56&lt;&gt;"Serviço",0,IF(OR(AND(AUTOEVENTO="Manual",$M56=1),$M56&gt;(ROW(PLE.lastrow)-ROW(PLE.firstrow))),0,IF(OFFSET(PLE!$G$14,$M56,CA$13)="",10^12,OFFSET(PLE!$G$14,$M56,CA$13))))</f>
        <v>1000000000000</v>
      </c>
      <c r="CB56" s="217">
        <f ca="1">IF($D56&lt;&gt;"Serviço",0,IF(OR(AND(AUTOEVENTO="Manual",$M56=1),$M56&gt;(ROW(PLE.lastrow)-ROW(PLE.firstrow))),0,IF(OFFSET(PLE!$G$14,$M56,CB$13)="",10^12,OFFSET(PLE!$G$14,$M56,CB$13))))</f>
        <v>1000000000000</v>
      </c>
      <c r="CC56" s="217">
        <f ca="1">IF($D56&lt;&gt;"Serviço",0,IF(OR(AND(AUTOEVENTO="Manual",$M56=1),$M56&gt;(ROW(PLE.lastrow)-ROW(PLE.firstrow))),0,IF(OFFSET(PLE!$G$14,$M56,CC$13)="",10^12,OFFSET(PLE!$G$14,$M56,CC$13))))</f>
        <v>1000000000000</v>
      </c>
      <c r="CD56" s="217">
        <f ca="1">IF($D56&lt;&gt;"Serviço",0,IF(OR(AND(AUTOEVENTO="Manual",$M56=1),$M56&gt;(ROW(PLE.lastrow)-ROW(PLE.firstrow))),0,IF(OFFSET(PLE!$G$14,$M56,CD$13)="",10^12,OFFSET(PLE!$G$14,$M56,CD$13))))</f>
        <v>1000000000000</v>
      </c>
      <c r="CE56" s="217">
        <f ca="1">IF($D56&lt;&gt;"Serviço",0,IF(OR(AND(AUTOEVENTO="Manual",$M56=1),$M56&gt;(ROW(PLE.lastrow)-ROW(PLE.firstrow))),0,IF(OFFSET(PLE!$G$14,$M56,CE$13)="",10^12,OFFSET(PLE!$G$14,$M56,CE$13))))</f>
        <v>1000000000000</v>
      </c>
      <c r="CF56" s="217">
        <f ca="1">IF($D56&lt;&gt;"Serviço",0,IF(OR(AND(AUTOEVENTO="Manual",$M56=1),$M56&gt;(ROW(PLE.lastrow)-ROW(PLE.firstrow))),0,IF(OFFSET(PLE!$G$14,$M56,CF$13)="",10^12,OFFSET(PLE!$G$14,$M56,CF$13))))</f>
        <v>1000000000000</v>
      </c>
      <c r="CG56" s="217">
        <f ca="1">IF($D56&lt;&gt;"Serviço",0,IF(OR(AND(AUTOEVENTO="Manual",$M56=1),$M56&gt;(ROW(PLE.lastrow)-ROW(PLE.firstrow))),0,IF(OFFSET(PLE!$G$14,$M56,CG$13)="",10^12,OFFSET(PLE!$G$14,$M56,CG$13))))</f>
        <v>1000000000000</v>
      </c>
      <c r="CH56" s="217">
        <f ca="1">IF($D56&lt;&gt;"Serviço",0,IF(OR(AND(AUTOEVENTO="Manual",$M56=1),$M56&gt;(ROW(PLE.lastrow)-ROW(PLE.firstrow))),0,IF(OFFSET(PLE!$G$14,$M56,CH$13)="",10^12,OFFSET(PLE!$G$14,$M56,CH$13))))</f>
        <v>1000000000000</v>
      </c>
      <c r="CI56" s="217">
        <f ca="1">IF($D56&lt;&gt;"Serviço",0,IF(OR(AND(AUTOEVENTO="Manual",$M56=1),$M56&gt;(ROW(PLE.lastrow)-ROW(PLE.firstrow))),0,IF(OFFSET(PLE!$G$14,$M56,CI$13)="",10^12,OFFSET(PLE!$G$14,$M56,CI$13))))</f>
        <v>1000000000000</v>
      </c>
      <c r="CJ56" s="217">
        <f ca="1">IF($D56&lt;&gt;"Serviço",0,IF(OR(AND(AUTOEVENTO="Manual",$M56=1),$M56&gt;(ROW(PLE.lastrow)-ROW(PLE.firstrow))),0,IF(OFFSET(PLE!$G$14,$M56,CJ$13)="",10^12,OFFSET(PLE!$G$14,$M56,CJ$13))))</f>
        <v>1000000000000</v>
      </c>
      <c r="CK56" s="217">
        <f ca="1">IF($D56&lt;&gt;"Serviço",0,IF(OR(AND(AUTOEVENTO="Manual",$M56=1),$M56&gt;(ROW(PLE.lastrow)-ROW(PLE.firstrow))),0,IF(OFFSET(PLE!$G$14,$M56,CK$13)="",10^12,OFFSET(PLE!$G$14,$M56,CK$13))))</f>
        <v>1000000000000</v>
      </c>
      <c r="CL56" s="217">
        <f ca="1">IF($D56&lt;&gt;"Serviço",0,IF(OR(AND(AUTOEVENTO="Manual",$M56=1),$M56&gt;(ROW(PLE.lastrow)-ROW(PLE.firstrow))),0,IF(OFFSET(PLE!$G$14,$M56,CL$13)="",10^12,OFFSET(PLE!$G$14,$M56,CL$13))))</f>
        <v>1000000000000</v>
      </c>
      <c r="CM56" s="217">
        <f ca="1">IF($D56&lt;&gt;"Serviço",0,IF(OR(AND(AUTOEVENTO="Manual",$M56=1),$M56&gt;(ROW(PLE.lastrow)-ROW(PLE.firstrow))),0,IF(OFFSET(PLE!$G$14,$M56,CM$13)="",10^12,OFFSET(PLE!$G$14,$M56,CM$13))))</f>
        <v>1000000000000</v>
      </c>
    </row>
    <row r="57" spans="1:91" ht="25.5" x14ac:dyDescent="0.2">
      <c r="A57" s="9" t="str">
        <f ca="1">IF(AUTOEVENTO="Manual",IF(K57&lt;&gt;"",MIN(VALUE(LEFT(K57,FIND(".",K57)-1)),COUNTA(EVENTOS.Lista)),0),IF(OR($B57&gt;AUTOEVENTO,$B57="S",$B57=0),SUBSTITUTE(OFFSET($A57,-1,0),IF($D57="Serviço",".",""),""),ROW(A57)-ROW($A$15)&amp;"."))</f>
        <v>34</v>
      </c>
      <c r="B57" s="9" t="str">
        <f ca="1">OFFSET(ORÇAMENTO!C$15,ROW(B57)-ROW(B$15),0)</f>
        <v>S</v>
      </c>
      <c r="C57" s="9" t="str">
        <f ca="1">OFFSET(ORÇAMENTO!L$15,ROW(C57)-ROW(C$15),0)</f>
        <v/>
      </c>
      <c r="D57" s="146" t="str">
        <f ca="1">OFFSET(ORÇAMENTO!N$15,ROW(D57)-ROW(D$15),0)</f>
        <v>Serviço</v>
      </c>
      <c r="E57" s="206" t="str">
        <f ca="1">OFFSET(ORÇAMENTO!O$15,ROW(E57)-ROW(E$15),0)</f>
        <v>-</v>
      </c>
      <c r="F57" s="207" t="str">
        <f ca="1">OFFSET(ORÇAMENTO!R$15,ROW(F57)-ROW(F$15),0)</f>
        <v>(abra o arquivo 'Referência 12-2023.xlsm)</v>
      </c>
      <c r="G57" s="208" t="str">
        <f ca="1">IF($D57&lt;&gt;"Serviço","",OFFSET(ORÇAMENTO!S$15,ROW(G57)-ROW(G$15),0))</f>
        <v>-</v>
      </c>
      <c r="H57" s="152">
        <f ca="1">IF($D57&lt;&gt;"Serviço",0,IF(ACOMPANHAMENTO="BM",ROUND(OFFSET(ORÇAMENTO!AJ$15,ROW(H57)-ROW(H$15),0),15-13*ORÇAMENTO!$AF$7),SUMPRODUCT(($Q$12:$AI$12&lt;&gt;"")*ROUND($Q57:$AI57,15-13*ORÇAMENTO!$AF$7))))</f>
        <v>3</v>
      </c>
      <c r="I57" s="649" t="s">
        <v>504</v>
      </c>
      <c r="K57" s="209"/>
      <c r="L57" s="210" t="s">
        <v>255</v>
      </c>
      <c r="M57" s="211">
        <f ca="1">IF($D57&lt;&gt;"Serviço","",IF(AUTOEVENTO="manual",$A57,IF(ISERROR(MATCH($A57,$A$15:OFFSET($A57,-1,0),0)),MAX($M$15:OFFSET(M57,-1,0))+1,INDEX($M$15:OFFSET(M57,-1,0),MATCH($A57,$A$15:OFFSET($A57,-1,0),0)))))</f>
        <v>9</v>
      </c>
      <c r="N57" s="212" t="str">
        <f ca="1">IF($D57&lt;&gt;"Serviço","",IF(AUTOEVENTO="Manual",IF($A57=0,"&lt;-- defina o número do agrupador",OFFSET(EVENTOS!$D$14,$A57,0)),OFFSET($F$15,$A57,0)))</f>
        <v xml:space="preserve">DRENAGEM </v>
      </c>
      <c r="O57" s="213"/>
      <c r="Q57" s="213"/>
      <c r="R57" s="214"/>
      <c r="S57" s="214"/>
      <c r="T57" s="214"/>
      <c r="U57" s="214"/>
      <c r="V57" s="214">
        <v>3</v>
      </c>
      <c r="W57" s="214"/>
      <c r="X57" s="214"/>
      <c r="Y57" s="214"/>
      <c r="Z57" s="215"/>
      <c r="AA57" s="214"/>
      <c r="AB57" s="214"/>
      <c r="AC57" s="214"/>
      <c r="AD57" s="214"/>
      <c r="AE57" s="214"/>
      <c r="AF57" s="214"/>
      <c r="AG57" s="214"/>
      <c r="AH57" s="215"/>
      <c r="AJ57" s="630">
        <f ca="1">IF(AND($D57="Serviço",AJ$12&lt;&gt;0,$H57&gt;0,OR(AUTOEVENTO&lt;&gt;"manual",$M57&lt;&gt;1)),
IF(Import.TipoArredondamento&lt;&gt;"TransfereGOV",
ROUND(OFFSET($P57,0,AJ$13),15-13*ORÇAMENTO!$AF$7)/$H57*OFFSET(ORÇAMENTO!$X$15,ROW(AJ57)-ROW(AJ$15),0),
ROUND(ROUND(OFFSET($P57,0,AJ$13),15-13*ORÇAMENTO!$AF$7)*OFFSET(ORÇAMENTO!$W$15,ROW(AJ57)-ROW(AJ$15),0),15-13*ORÇAMENTO!$AF$11)),0)</f>
        <v>0</v>
      </c>
      <c r="AK57" s="631">
        <f ca="1">IF(AND($D57="Serviço",AK$12&lt;&gt;0,$H57&gt;0,OR(AUTOEVENTO&lt;&gt;"manual",$M57&lt;&gt;1)),
IF(Import.TipoArredondamento&lt;&gt;"TransfereGOV",
ROUND(OFFSET($P57,0,AK$13),15-13*ORÇAMENTO!$AF$7)/$H57*OFFSET(ORÇAMENTO!$X$15,ROW(AK57)-ROW(AK$15),0),
ROUND(ROUND(OFFSET($P57,0,AK$13),15-13*ORÇAMENTO!$AF$7)*OFFSET(ORÇAMENTO!$W$15,ROW(AK57)-ROW(AK$15),0),15-13*ORÇAMENTO!$AF$11)),0)</f>
        <v>0</v>
      </c>
      <c r="AL57" s="631">
        <f ca="1">IF(AND($D57="Serviço",AL$12&lt;&gt;0,$H57&gt;0,OR(AUTOEVENTO&lt;&gt;"manual",$M57&lt;&gt;1)),
IF(Import.TipoArredondamento&lt;&gt;"TransfereGOV",
ROUND(OFFSET($P57,0,AL$13),15-13*ORÇAMENTO!$AF$7)/$H57*OFFSET(ORÇAMENTO!$X$15,ROW(AL57)-ROW(AL$15),0),
ROUND(ROUND(OFFSET($P57,0,AL$13),15-13*ORÇAMENTO!$AF$7)*OFFSET(ORÇAMENTO!$W$15,ROW(AL57)-ROW(AL$15),0),15-13*ORÇAMENTO!$AF$11)),0)</f>
        <v>0</v>
      </c>
      <c r="AM57" s="631">
        <f ca="1">IF(AND($D57="Serviço",AM$12&lt;&gt;0,$H57&gt;0,OR(AUTOEVENTO&lt;&gt;"manual",$M57&lt;&gt;1)),
IF(Import.TipoArredondamento&lt;&gt;"TransfereGOV",
ROUND(OFFSET($P57,0,AM$13),15-13*ORÇAMENTO!$AF$7)/$H57*OFFSET(ORÇAMENTO!$X$15,ROW(AM57)-ROW(AM$15),0),
ROUND(ROUND(OFFSET($P57,0,AM$13),15-13*ORÇAMENTO!$AF$7)*OFFSET(ORÇAMENTO!$W$15,ROW(AM57)-ROW(AM$15),0),15-13*ORÇAMENTO!$AF$11)),0)</f>
        <v>0</v>
      </c>
      <c r="AN57" s="631">
        <f ca="1">IF(AND($D57="Serviço",AN$12&lt;&gt;0,$H57&gt;0,OR(AUTOEVENTO&lt;&gt;"manual",$M57&lt;&gt;1)),
IF(Import.TipoArredondamento&lt;&gt;"TransfereGOV",
ROUND(OFFSET($P57,0,AN$13),15-13*ORÇAMENTO!$AF$7)/$H57*OFFSET(ORÇAMENTO!$X$15,ROW(AN57)-ROW(AN$15),0),
ROUND(ROUND(OFFSET($P57,0,AN$13),15-13*ORÇAMENTO!$AF$7)*OFFSET(ORÇAMENTO!$W$15,ROW(AN57)-ROW(AN$15),0),15-13*ORÇAMENTO!$AF$11)),0)</f>
        <v>0</v>
      </c>
      <c r="AO57" s="631">
        <f ca="1">IF(AND($D57="Serviço",AO$12&lt;&gt;0,$H57&gt;0,OR(AUTOEVENTO&lt;&gt;"manual",$M57&lt;&gt;1)),
IF(Import.TipoArredondamento&lt;&gt;"TransfereGOV",
ROUND(OFFSET($P57,0,AO$13),15-13*ORÇAMENTO!$AF$7)/$H57*OFFSET(ORÇAMENTO!$X$15,ROW(AO57)-ROW(AO$15),0),
ROUND(ROUND(OFFSET($P57,0,AO$13),15-13*ORÇAMENTO!$AF$7)*OFFSET(ORÇAMENTO!$W$15,ROW(AO57)-ROW(AO$15),0),15-13*ORÇAMENTO!$AF$11)),0)</f>
        <v>0</v>
      </c>
      <c r="AP57" s="631">
        <f ca="1">IF(AND($D57="Serviço",AP$12&lt;&gt;0,$H57&gt;0,OR(AUTOEVENTO&lt;&gt;"manual",$M57&lt;&gt;1)),
IF(Import.TipoArredondamento&lt;&gt;"TransfereGOV",
ROUND(OFFSET($P57,0,AP$13),15-13*ORÇAMENTO!$AF$7)/$H57*OFFSET(ORÇAMENTO!$X$15,ROW(AP57)-ROW(AP$15),0),
ROUND(ROUND(OFFSET($P57,0,AP$13),15-13*ORÇAMENTO!$AF$7)*OFFSET(ORÇAMENTO!$W$15,ROW(AP57)-ROW(AP$15),0),15-13*ORÇAMENTO!$AF$11)),0)</f>
        <v>0</v>
      </c>
      <c r="AQ57" s="631">
        <f ca="1">IF(AND($D57="Serviço",AQ$12&lt;&gt;0,$H57&gt;0,OR(AUTOEVENTO&lt;&gt;"manual",$M57&lt;&gt;1)),
IF(Import.TipoArredondamento&lt;&gt;"TransfereGOV",
ROUND(OFFSET($P57,0,AQ$13),15-13*ORÇAMENTO!$AF$7)/$H57*OFFSET(ORÇAMENTO!$X$15,ROW(AQ57)-ROW(AQ$15),0),
ROUND(ROUND(OFFSET($P57,0,AQ$13),15-13*ORÇAMENTO!$AF$7)*OFFSET(ORÇAMENTO!$W$15,ROW(AQ57)-ROW(AQ$15),0),15-13*ORÇAMENTO!$AF$11)),0)</f>
        <v>0</v>
      </c>
      <c r="AR57" s="631">
        <f ca="1">IF(AND($D57="Serviço",AR$12&lt;&gt;0,$H57&gt;0,OR(AUTOEVENTO&lt;&gt;"manual",$M57&lt;&gt;1)),
IF(Import.TipoArredondamento&lt;&gt;"TransfereGOV",
ROUND(OFFSET($P57,0,AR$13),15-13*ORÇAMENTO!$AF$7)/$H57*OFFSET(ORÇAMENTO!$X$15,ROW(AR57)-ROW(AR$15),0),
ROUND(ROUND(OFFSET($P57,0,AR$13),15-13*ORÇAMENTO!$AF$7)*OFFSET(ORÇAMENTO!$W$15,ROW(AR57)-ROW(AR$15),0),15-13*ORÇAMENTO!$AF$11)),0)</f>
        <v>0</v>
      </c>
      <c r="AS57" s="632">
        <f ca="1">IF(AND($D57="Serviço",AS$12&lt;&gt;0,$H57&gt;0,OR(AUTOEVENTO&lt;&gt;"manual",$M57&lt;&gt;1)),
IF(Import.TipoArredondamento&lt;&gt;"TransfereGOV",
ROUND(OFFSET($P57,0,AS$13),15-13*ORÇAMENTO!$AF$7)/$H57*OFFSET(ORÇAMENTO!$X$15,ROW(AS57)-ROW(AS$15),0),
ROUND(ROUND(OFFSET($P57,0,AS$13),15-13*ORÇAMENTO!$AF$7)*OFFSET(ORÇAMENTO!$W$15,ROW(AS57)-ROW(AS$15),0),15-13*ORÇAMENTO!$AF$11)),0)</f>
        <v>0</v>
      </c>
      <c r="AT57" s="631">
        <f ca="1">IF(AND($D57="Serviço",AT$12&lt;&gt;0,$H57&gt;0,OR(AUTOEVENTO&lt;&gt;"manual",$M57&lt;&gt;1)),
IF(Import.TipoArredondamento&lt;&gt;"TransfereGOV",
ROUND(OFFSET($P57,0,AT$13),15-13*ORÇAMENTO!$AF$7)/$H57*OFFSET(ORÇAMENTO!$X$15,ROW(AT57)-ROW(AT$15),0),
ROUND(ROUND(OFFSET($P57,0,AT$13),15-13*ORÇAMENTO!$AF$7)*OFFSET(ORÇAMENTO!$W$15,ROW(AT57)-ROW(AT$15),0),15-13*ORÇAMENTO!$AF$11)),0)</f>
        <v>0</v>
      </c>
      <c r="AU57" s="631">
        <f ca="1">IF(AND($D57="Serviço",AU$12&lt;&gt;0,$H57&gt;0,OR(AUTOEVENTO&lt;&gt;"manual",$M57&lt;&gt;1)),
IF(Import.TipoArredondamento&lt;&gt;"TransfereGOV",
ROUND(OFFSET($P57,0,AU$13),15-13*ORÇAMENTO!$AF$7)/$H57*OFFSET(ORÇAMENTO!$X$15,ROW(AU57)-ROW(AU$15),0),
ROUND(ROUND(OFFSET($P57,0,AU$13),15-13*ORÇAMENTO!$AF$7)*OFFSET(ORÇAMENTO!$W$15,ROW(AU57)-ROW(AU$15),0),15-13*ORÇAMENTO!$AF$11)),0)</f>
        <v>0</v>
      </c>
      <c r="AV57" s="631">
        <f ca="1">IF(AND($D57="Serviço",AV$12&lt;&gt;0,$H57&gt;0,OR(AUTOEVENTO&lt;&gt;"manual",$M57&lt;&gt;1)),
IF(Import.TipoArredondamento&lt;&gt;"TransfereGOV",
ROUND(OFFSET($P57,0,AV$13),15-13*ORÇAMENTO!$AF$7)/$H57*OFFSET(ORÇAMENTO!$X$15,ROW(AV57)-ROW(AV$15),0),
ROUND(ROUND(OFFSET($P57,0,AV$13),15-13*ORÇAMENTO!$AF$7)*OFFSET(ORÇAMENTO!$W$15,ROW(AV57)-ROW(AV$15),0),15-13*ORÇAMENTO!$AF$11)),0)</f>
        <v>0</v>
      </c>
      <c r="AW57" s="631">
        <f ca="1">IF(AND($D57="Serviço",AW$12&lt;&gt;0,$H57&gt;0,OR(AUTOEVENTO&lt;&gt;"manual",$M57&lt;&gt;1)),
IF(Import.TipoArredondamento&lt;&gt;"TransfereGOV",
ROUND(OFFSET($P57,0,AW$13),15-13*ORÇAMENTO!$AF$7)/$H57*OFFSET(ORÇAMENTO!$X$15,ROW(AW57)-ROW(AW$15),0),
ROUND(ROUND(OFFSET($P57,0,AW$13),15-13*ORÇAMENTO!$AF$7)*OFFSET(ORÇAMENTO!$W$15,ROW(AW57)-ROW(AW$15),0),15-13*ORÇAMENTO!$AF$11)),0)</f>
        <v>0</v>
      </c>
      <c r="AX57" s="631">
        <f ca="1">IF(AND($D57="Serviço",AX$12&lt;&gt;0,$H57&gt;0,OR(AUTOEVENTO&lt;&gt;"manual",$M57&lt;&gt;1)),
IF(Import.TipoArredondamento&lt;&gt;"TransfereGOV",
ROUND(OFFSET($P57,0,AX$13),15-13*ORÇAMENTO!$AF$7)/$H57*OFFSET(ORÇAMENTO!$X$15,ROW(AX57)-ROW(AX$15),0),
ROUND(ROUND(OFFSET($P57,0,AX$13),15-13*ORÇAMENTO!$AF$7)*OFFSET(ORÇAMENTO!$W$15,ROW(AX57)-ROW(AX$15),0),15-13*ORÇAMENTO!$AF$11)),0)</f>
        <v>0</v>
      </c>
      <c r="AY57" s="631">
        <f ca="1">IF(AND($D57="Serviço",AY$12&lt;&gt;0,$H57&gt;0,OR(AUTOEVENTO&lt;&gt;"manual",$M57&lt;&gt;1)),
IF(Import.TipoArredondamento&lt;&gt;"TransfereGOV",
ROUND(OFFSET($P57,0,AY$13),15-13*ORÇAMENTO!$AF$7)/$H57*OFFSET(ORÇAMENTO!$X$15,ROW(AY57)-ROW(AY$15),0),
ROUND(ROUND(OFFSET($P57,0,AY$13),15-13*ORÇAMENTO!$AF$7)*OFFSET(ORÇAMENTO!$W$15,ROW(AY57)-ROW(AY$15),0),15-13*ORÇAMENTO!$AF$11)),0)</f>
        <v>0</v>
      </c>
      <c r="AZ57" s="631">
        <f ca="1">IF(AND($D57="Serviço",AZ$12&lt;&gt;0,$H57&gt;0,OR(AUTOEVENTO&lt;&gt;"manual",$M57&lt;&gt;1)),
IF(Import.TipoArredondamento&lt;&gt;"TransfereGOV",
ROUND(OFFSET($P57,0,AZ$13),15-13*ORÇAMENTO!$AF$7)/$H57*OFFSET(ORÇAMENTO!$X$15,ROW(AZ57)-ROW(AZ$15),0),
ROUND(ROUND(OFFSET($P57,0,AZ$13),15-13*ORÇAMENTO!$AF$7)*OFFSET(ORÇAMENTO!$W$15,ROW(AZ57)-ROW(AZ$15),0),15-13*ORÇAMENTO!$AF$11)),0)</f>
        <v>0</v>
      </c>
      <c r="BA57" s="632">
        <f ca="1">IF(AND($D57="Serviço",BA$12&lt;&gt;0,$H57&gt;0,OR(AUTOEVENTO&lt;&gt;"manual",$M57&lt;&gt;1)),
IF(Import.TipoArredondamento&lt;&gt;"TransfereGOV",
ROUND(OFFSET($P57,0,BA$13),15-13*ORÇAMENTO!$AF$7)/$H57*OFFSET(ORÇAMENTO!$X$15,ROW(BA57)-ROW(BA$15),0),
ROUND(ROUND(OFFSET($P57,0,BA$13),15-13*ORÇAMENTO!$AF$7)*OFFSET(ORÇAMENTO!$W$15,ROW(BA57)-ROW(BA$15),0),15-13*ORÇAMENTO!$AF$11)),0)</f>
        <v>0</v>
      </c>
      <c r="BC57" s="216">
        <f ca="1">IF($D57&lt;&gt;"Serviço",0,IF(AND(AUTOEVENTO="Manual",$M57=1),0,IF(OFFSET(CRONOPLE!$F$14,$M57,BC$13)="",10^12,OFFSET(CRONOPLE!$F$14,$M57,BC$13))))</f>
        <v>1000000000000</v>
      </c>
      <c r="BD57" s="216">
        <f ca="1">IF($D57&lt;&gt;"Serviço",0,IF(AND(AUTOEVENTO="Manual",$M57=1),0,IF(OFFSET(CRONOPLE!$F$14,$M57,BD$13)="",10^12,OFFSET(CRONOPLE!$F$14,$M57,BD$13))))</f>
        <v>1000000000000</v>
      </c>
      <c r="BE57" s="216">
        <f ca="1">IF($D57&lt;&gt;"Serviço",0,IF(AND(AUTOEVENTO="Manual",$M57=1),0,IF(OFFSET(CRONOPLE!$F$14,$M57,BE$13)="",10^12,OFFSET(CRONOPLE!$F$14,$M57,BE$13))))</f>
        <v>1000000000000</v>
      </c>
      <c r="BF57" s="216">
        <f ca="1">IF($D57&lt;&gt;"Serviço",0,IF(AND(AUTOEVENTO="Manual",$M57=1),0,IF(OFFSET(CRONOPLE!$F$14,$M57,BF$13)="",10^12,OFFSET(CRONOPLE!$F$14,$M57,BF$13))))</f>
        <v>1000000000000</v>
      </c>
      <c r="BG57" s="216">
        <f ca="1">IF($D57&lt;&gt;"Serviço",0,IF(AND(AUTOEVENTO="Manual",$M57=1),0,IF(OFFSET(CRONOPLE!$F$14,$M57,BG$13)="",10^12,OFFSET(CRONOPLE!$F$14,$M57,BG$13))))</f>
        <v>1000000000000</v>
      </c>
      <c r="BH57" s="216">
        <f ca="1">IF($D57&lt;&gt;"Serviço",0,IF(AND(AUTOEVENTO="Manual",$M57=1),0,IF(OFFSET(CRONOPLE!$F$14,$M57,BH$13)="",10^12,OFFSET(CRONOPLE!$F$14,$M57,BH$13))))</f>
        <v>3</v>
      </c>
      <c r="BI57" s="216">
        <f ca="1">IF($D57&lt;&gt;"Serviço",0,IF(AND(AUTOEVENTO="Manual",$M57=1),0,IF(OFFSET(CRONOPLE!$F$14,$M57,BI$13)="",10^12,OFFSET(CRONOPLE!$F$14,$M57,BI$13))))</f>
        <v>1000000000000</v>
      </c>
      <c r="BJ57" s="216">
        <f ca="1">IF($D57&lt;&gt;"Serviço",0,IF(AND(AUTOEVENTO="Manual",$M57=1),0,IF(OFFSET(CRONOPLE!$F$14,$M57,BJ$13)="",10^12,OFFSET(CRONOPLE!$F$14,$M57,BJ$13))))</f>
        <v>1000000000000</v>
      </c>
      <c r="BK57" s="216">
        <f ca="1">IF($D57&lt;&gt;"Serviço",0,IF(AND(AUTOEVENTO="Manual",$M57=1),0,IF(OFFSET(CRONOPLE!$F$14,$M57,BK$13)="",10^12,OFFSET(CRONOPLE!$F$14,$M57,BK$13))))</f>
        <v>1000000000000</v>
      </c>
      <c r="BL57" s="216">
        <f ca="1">IF($D57&lt;&gt;"Serviço",0,IF(AND(AUTOEVENTO="Manual",$M57=1),0,IF(OFFSET(CRONOPLE!$F$14,$M57,BL$13)="",10^12,OFFSET(CRONOPLE!$F$14,$M57,BL$13))))</f>
        <v>1000000000000</v>
      </c>
      <c r="BM57" s="216">
        <f ca="1">IF($D57&lt;&gt;"Serviço",0,IF(AND(AUTOEVENTO="Manual",$M57=1),0,IF(OFFSET(CRONOPLE!$F$14,$M57,BM$13)="",10^12,OFFSET(CRONOPLE!$F$14,$M57,BM$13))))</f>
        <v>1000000000000</v>
      </c>
      <c r="BN57" s="216">
        <f ca="1">IF($D57&lt;&gt;"Serviço",0,IF(AND(AUTOEVENTO="Manual",$M57=1),0,IF(OFFSET(CRONOPLE!$F$14,$M57,BN$13)="",10^12,OFFSET(CRONOPLE!$F$14,$M57,BN$13))))</f>
        <v>1000000000000</v>
      </c>
      <c r="BO57" s="216">
        <f ca="1">IF($D57&lt;&gt;"Serviço",0,IF(AND(AUTOEVENTO="Manual",$M57=1),0,IF(OFFSET(CRONOPLE!$F$14,$M57,BO$13)="",10^12,OFFSET(CRONOPLE!$F$14,$M57,BO$13))))</f>
        <v>1000000000000</v>
      </c>
      <c r="BP57" s="216">
        <f ca="1">IF($D57&lt;&gt;"Serviço",0,IF(AND(AUTOEVENTO="Manual",$M57=1),0,IF(OFFSET(CRONOPLE!$F$14,$M57,BP$13)="",10^12,OFFSET(CRONOPLE!$F$14,$M57,BP$13))))</f>
        <v>1000000000000</v>
      </c>
      <c r="BQ57" s="216">
        <f ca="1">IF($D57&lt;&gt;"Serviço",0,IF(AND(AUTOEVENTO="Manual",$M57=1),0,IF(OFFSET(CRONOPLE!$F$14,$M57,BQ$13)="",10^12,OFFSET(CRONOPLE!$F$14,$M57,BQ$13))))</f>
        <v>1000000000000</v>
      </c>
      <c r="BR57" s="216">
        <f ca="1">IF($D57&lt;&gt;"Serviço",0,IF(AND(AUTOEVENTO="Manual",$M57=1),0,IF(OFFSET(CRONOPLE!$F$14,$M57,BR$13)="",10^12,OFFSET(CRONOPLE!$F$14,$M57,BR$13))))</f>
        <v>1000000000000</v>
      </c>
      <c r="BS57" s="216">
        <f ca="1">IF($D57&lt;&gt;"Serviço",0,IF(AND(AUTOEVENTO="Manual",$M57=1),0,IF(OFFSET(CRONOPLE!$F$14,$M57,BS$13)="",10^12,OFFSET(CRONOPLE!$F$14,$M57,BS$13))))</f>
        <v>1000000000000</v>
      </c>
      <c r="BT57" s="216">
        <f ca="1">IF($D57&lt;&gt;"Serviço",0,IF(AND(AUTOEVENTO="Manual",$M57=1),0,IF(OFFSET(CRONOPLE!$F$14,$M57,BT$13)="",10^12,OFFSET(CRONOPLE!$F$14,$M57,BT$13))))</f>
        <v>1000000000000</v>
      </c>
      <c r="BV57" s="217">
        <f ca="1">IF($D57&lt;&gt;"Serviço",0,IF(OR(AND(AUTOEVENTO="Manual",$M57=1),$M57&gt;(ROW(PLE.lastrow)-ROW(PLE.firstrow))),0,IF(OFFSET(PLE!$G$14,$M57,BV$13)="",10^12,OFFSET(PLE!$G$14,$M57,BV$13))))</f>
        <v>1000000000000</v>
      </c>
      <c r="BW57" s="217">
        <f ca="1">IF($D57&lt;&gt;"Serviço",0,IF(OR(AND(AUTOEVENTO="Manual",$M57=1),$M57&gt;(ROW(PLE.lastrow)-ROW(PLE.firstrow))),0,IF(OFFSET(PLE!$G$14,$M57,BW$13)="",10^12,OFFSET(PLE!$G$14,$M57,BW$13))))</f>
        <v>1000000000000</v>
      </c>
      <c r="BX57" s="217">
        <f ca="1">IF($D57&lt;&gt;"Serviço",0,IF(OR(AND(AUTOEVENTO="Manual",$M57=1),$M57&gt;(ROW(PLE.lastrow)-ROW(PLE.firstrow))),0,IF(OFFSET(PLE!$G$14,$M57,BX$13)="",10^12,OFFSET(PLE!$G$14,$M57,BX$13))))</f>
        <v>1000000000000</v>
      </c>
      <c r="BY57" s="217">
        <f ca="1">IF($D57&lt;&gt;"Serviço",0,IF(OR(AND(AUTOEVENTO="Manual",$M57=1),$M57&gt;(ROW(PLE.lastrow)-ROW(PLE.firstrow))),0,IF(OFFSET(PLE!$G$14,$M57,BY$13)="",10^12,OFFSET(PLE!$G$14,$M57,BY$13))))</f>
        <v>1000000000000</v>
      </c>
      <c r="BZ57" s="217">
        <f ca="1">IF($D57&lt;&gt;"Serviço",0,IF(OR(AND(AUTOEVENTO="Manual",$M57=1),$M57&gt;(ROW(PLE.lastrow)-ROW(PLE.firstrow))),0,IF(OFFSET(PLE!$G$14,$M57,BZ$13)="",10^12,OFFSET(PLE!$G$14,$M57,BZ$13))))</f>
        <v>1000000000000</v>
      </c>
      <c r="CA57" s="217">
        <f ca="1">IF($D57&lt;&gt;"Serviço",0,IF(OR(AND(AUTOEVENTO="Manual",$M57=1),$M57&gt;(ROW(PLE.lastrow)-ROW(PLE.firstrow))),0,IF(OFFSET(PLE!$G$14,$M57,CA$13)="",10^12,OFFSET(PLE!$G$14,$M57,CA$13))))</f>
        <v>1000000000000</v>
      </c>
      <c r="CB57" s="217">
        <f ca="1">IF($D57&lt;&gt;"Serviço",0,IF(OR(AND(AUTOEVENTO="Manual",$M57=1),$M57&gt;(ROW(PLE.lastrow)-ROW(PLE.firstrow))),0,IF(OFFSET(PLE!$G$14,$M57,CB$13)="",10^12,OFFSET(PLE!$G$14,$M57,CB$13))))</f>
        <v>1000000000000</v>
      </c>
      <c r="CC57" s="217">
        <f ca="1">IF($D57&lt;&gt;"Serviço",0,IF(OR(AND(AUTOEVENTO="Manual",$M57=1),$M57&gt;(ROW(PLE.lastrow)-ROW(PLE.firstrow))),0,IF(OFFSET(PLE!$G$14,$M57,CC$13)="",10^12,OFFSET(PLE!$G$14,$M57,CC$13))))</f>
        <v>1000000000000</v>
      </c>
      <c r="CD57" s="217">
        <f ca="1">IF($D57&lt;&gt;"Serviço",0,IF(OR(AND(AUTOEVENTO="Manual",$M57=1),$M57&gt;(ROW(PLE.lastrow)-ROW(PLE.firstrow))),0,IF(OFFSET(PLE!$G$14,$M57,CD$13)="",10^12,OFFSET(PLE!$G$14,$M57,CD$13))))</f>
        <v>1000000000000</v>
      </c>
      <c r="CE57" s="217">
        <f ca="1">IF($D57&lt;&gt;"Serviço",0,IF(OR(AND(AUTOEVENTO="Manual",$M57=1),$M57&gt;(ROW(PLE.lastrow)-ROW(PLE.firstrow))),0,IF(OFFSET(PLE!$G$14,$M57,CE$13)="",10^12,OFFSET(PLE!$G$14,$M57,CE$13))))</f>
        <v>1000000000000</v>
      </c>
      <c r="CF57" s="217">
        <f ca="1">IF($D57&lt;&gt;"Serviço",0,IF(OR(AND(AUTOEVENTO="Manual",$M57=1),$M57&gt;(ROW(PLE.lastrow)-ROW(PLE.firstrow))),0,IF(OFFSET(PLE!$G$14,$M57,CF$13)="",10^12,OFFSET(PLE!$G$14,$M57,CF$13))))</f>
        <v>1000000000000</v>
      </c>
      <c r="CG57" s="217">
        <f ca="1">IF($D57&lt;&gt;"Serviço",0,IF(OR(AND(AUTOEVENTO="Manual",$M57=1),$M57&gt;(ROW(PLE.lastrow)-ROW(PLE.firstrow))),0,IF(OFFSET(PLE!$G$14,$M57,CG$13)="",10^12,OFFSET(PLE!$G$14,$M57,CG$13))))</f>
        <v>1000000000000</v>
      </c>
      <c r="CH57" s="217">
        <f ca="1">IF($D57&lt;&gt;"Serviço",0,IF(OR(AND(AUTOEVENTO="Manual",$M57=1),$M57&gt;(ROW(PLE.lastrow)-ROW(PLE.firstrow))),0,IF(OFFSET(PLE!$G$14,$M57,CH$13)="",10^12,OFFSET(PLE!$G$14,$M57,CH$13))))</f>
        <v>1000000000000</v>
      </c>
      <c r="CI57" s="217">
        <f ca="1">IF($D57&lt;&gt;"Serviço",0,IF(OR(AND(AUTOEVENTO="Manual",$M57=1),$M57&gt;(ROW(PLE.lastrow)-ROW(PLE.firstrow))),0,IF(OFFSET(PLE!$G$14,$M57,CI$13)="",10^12,OFFSET(PLE!$G$14,$M57,CI$13))))</f>
        <v>1000000000000</v>
      </c>
      <c r="CJ57" s="217">
        <f ca="1">IF($D57&lt;&gt;"Serviço",0,IF(OR(AND(AUTOEVENTO="Manual",$M57=1),$M57&gt;(ROW(PLE.lastrow)-ROW(PLE.firstrow))),0,IF(OFFSET(PLE!$G$14,$M57,CJ$13)="",10^12,OFFSET(PLE!$G$14,$M57,CJ$13))))</f>
        <v>1000000000000</v>
      </c>
      <c r="CK57" s="217">
        <f ca="1">IF($D57&lt;&gt;"Serviço",0,IF(OR(AND(AUTOEVENTO="Manual",$M57=1),$M57&gt;(ROW(PLE.lastrow)-ROW(PLE.firstrow))),0,IF(OFFSET(PLE!$G$14,$M57,CK$13)="",10^12,OFFSET(PLE!$G$14,$M57,CK$13))))</f>
        <v>1000000000000</v>
      </c>
      <c r="CL57" s="217">
        <f ca="1">IF($D57&lt;&gt;"Serviço",0,IF(OR(AND(AUTOEVENTO="Manual",$M57=1),$M57&gt;(ROW(PLE.lastrow)-ROW(PLE.firstrow))),0,IF(OFFSET(PLE!$G$14,$M57,CL$13)="",10^12,OFFSET(PLE!$G$14,$M57,CL$13))))</f>
        <v>1000000000000</v>
      </c>
      <c r="CM57" s="217">
        <f ca="1">IF($D57&lt;&gt;"Serviço",0,IF(OR(AND(AUTOEVENTO="Manual",$M57=1),$M57&gt;(ROW(PLE.lastrow)-ROW(PLE.firstrow))),0,IF(OFFSET(PLE!$G$14,$M57,CM$13)="",10^12,OFFSET(PLE!$G$14,$M57,CM$13))))</f>
        <v>1000000000000</v>
      </c>
    </row>
    <row r="58" spans="1:91" ht="5.0999999999999996" customHeight="1" x14ac:dyDescent="0.2">
      <c r="B58" s="9">
        <f ca="1">OFFSET(ORÇAMENTO!C$15,ROW(B58)-ROW(B$15),0)</f>
        <v>-1</v>
      </c>
      <c r="C58" s="9" t="str">
        <f ca="1">OFFSET(ORÇAMENTO!L$15,ROW(C58)-ROW(C$15),0)</f>
        <v>F</v>
      </c>
      <c r="D58" s="562" t="s">
        <v>194</v>
      </c>
      <c r="E58" s="563"/>
      <c r="F58" s="564"/>
      <c r="G58" s="564"/>
      <c r="H58" s="564"/>
      <c r="I58" s="565"/>
      <c r="J58" s="177"/>
      <c r="K58" s="568"/>
      <c r="L58" s="561" t="s">
        <v>255</v>
      </c>
      <c r="M58" s="569"/>
      <c r="N58" s="566"/>
      <c r="O58" s="560"/>
      <c r="P58" s="177"/>
      <c r="Q58" s="567"/>
      <c r="R58" s="564"/>
      <c r="S58" s="564"/>
      <c r="T58" s="564"/>
      <c r="U58" s="564"/>
      <c r="V58" s="564"/>
      <c r="W58" s="564"/>
      <c r="X58" s="564"/>
      <c r="Y58" s="564"/>
      <c r="Z58" s="565"/>
      <c r="AA58" s="564"/>
      <c r="AB58" s="564"/>
      <c r="AC58" s="564"/>
      <c r="AD58" s="564"/>
      <c r="AE58" s="564"/>
      <c r="AF58" s="564"/>
      <c r="AG58" s="564"/>
      <c r="AH58" s="565"/>
      <c r="AI58" s="177"/>
      <c r="AJ58" s="168"/>
      <c r="AK58" s="227"/>
      <c r="AL58" s="227"/>
      <c r="AM58" s="227"/>
      <c r="AN58" s="227"/>
      <c r="AO58" s="227"/>
      <c r="AP58" s="227"/>
      <c r="AQ58" s="227"/>
      <c r="AR58" s="227"/>
      <c r="AS58" s="169"/>
      <c r="AT58" s="227"/>
      <c r="AU58" s="227"/>
      <c r="AV58" s="227"/>
      <c r="AW58" s="227"/>
      <c r="AX58" s="227"/>
      <c r="AY58" s="227"/>
      <c r="AZ58" s="227"/>
      <c r="BA58" s="169"/>
      <c r="BC58" s="168"/>
      <c r="BD58" s="227"/>
      <c r="BE58" s="227"/>
      <c r="BF58" s="227"/>
      <c r="BG58" s="227"/>
      <c r="BH58" s="227"/>
      <c r="BI58" s="227"/>
      <c r="BJ58" s="227"/>
      <c r="BK58" s="227"/>
      <c r="BL58" s="169"/>
      <c r="BM58" s="227"/>
      <c r="BN58" s="227"/>
      <c r="BO58" s="227"/>
      <c r="BP58" s="227"/>
      <c r="BQ58" s="227"/>
      <c r="BR58" s="227"/>
      <c r="BS58" s="227"/>
      <c r="BT58" s="169"/>
      <c r="BV58" s="168"/>
      <c r="BW58" s="227"/>
      <c r="BX58" s="227"/>
      <c r="BY58" s="227"/>
      <c r="BZ58" s="227"/>
      <c r="CA58" s="227"/>
      <c r="CB58" s="227"/>
      <c r="CC58" s="227"/>
      <c r="CD58" s="227"/>
      <c r="CE58" s="169"/>
      <c r="CF58" s="227"/>
      <c r="CG58" s="227"/>
      <c r="CH58" s="227"/>
      <c r="CI58" s="227"/>
      <c r="CJ58" s="227"/>
      <c r="CK58" s="227"/>
      <c r="CL58" s="227"/>
      <c r="CM58" s="169"/>
    </row>
    <row r="59" spans="1:91" ht="12.75" customHeight="1" x14ac:dyDescent="0.2"/>
    <row r="60" spans="1:91" ht="12.75" customHeight="1" x14ac:dyDescent="0.2"/>
    <row r="61" spans="1:91" ht="12.75" customHeight="1" x14ac:dyDescent="0.2"/>
    <row r="62" spans="1:91" ht="15" customHeight="1" x14ac:dyDescent="0.2">
      <c r="F62" s="228" t="str">
        <f>Import.Município</f>
        <v xml:space="preserve">SÃO FRANCISCO </v>
      </c>
      <c r="I62" s="639"/>
      <c r="J62" s="639"/>
      <c r="K62" s="639"/>
      <c r="L62" s="639"/>
      <c r="M62" s="640"/>
      <c r="N62" s="557"/>
      <c r="T62" s="176"/>
      <c r="U62" s="176"/>
      <c r="V62" s="229"/>
      <c r="W62" s="229"/>
      <c r="X62" s="229"/>
      <c r="Y62" s="229"/>
      <c r="AB62" s="176"/>
      <c r="AC62" s="176"/>
      <c r="AD62" s="229"/>
      <c r="AE62" s="229"/>
      <c r="AF62" s="229"/>
      <c r="AG62" s="229"/>
    </row>
    <row r="63" spans="1:91" ht="12.75" customHeight="1" x14ac:dyDescent="0.2">
      <c r="F63" s="12" t="s">
        <v>188</v>
      </c>
      <c r="I63" s="230" t="s">
        <v>190</v>
      </c>
      <c r="J63" s="230"/>
      <c r="K63" s="230"/>
      <c r="L63" s="230"/>
      <c r="T63" s="230" t="s">
        <v>190</v>
      </c>
      <c r="U63" s="230"/>
      <c r="AB63" s="230" t="s">
        <v>190</v>
      </c>
      <c r="AC63" s="230"/>
    </row>
    <row r="64" spans="1:91" ht="12.75" customHeight="1" x14ac:dyDescent="0.2">
      <c r="F64" s="105"/>
      <c r="I64" s="641" t="str">
        <f t="array" aca="1" ref="I64:I66" ca="1">OFFSET(Import.RespOrçamento,0,-1) &amp; " " &amp; Import.RespOrçamento</f>
        <v>Nome: KÁREN MARIANA SOARES VIEIRA</v>
      </c>
      <c r="K64" s="97"/>
      <c r="L64" s="97"/>
      <c r="T64" s="641" t="str">
        <f t="array" aca="1" ref="T64:T66" ca="1">OFFSET(Import.RespOrçamento,0,-1) &amp; " " &amp; Import.RespOrçamento</f>
        <v>Nome: KÁREN MARIANA SOARES VIEIRA</v>
      </c>
      <c r="U64" s="96"/>
      <c r="AB64" s="641" t="str">
        <f t="array" aca="1" ref="AB64:AB66" ca="1">OFFSET(Import.RespOrçamento,0,-1) &amp; " " &amp; Import.RespOrçamento</f>
        <v>Nome: KÁREN MARIANA SOARES VIEIRA</v>
      </c>
      <c r="AC64" s="96"/>
    </row>
    <row r="65" spans="3:29" ht="12.75" customHeight="1" x14ac:dyDescent="0.2">
      <c r="F65" s="638">
        <f ca="1">DADOS!$F$25</f>
        <v>45737</v>
      </c>
      <c r="I65" s="641" t="str">
        <f ca="1"/>
        <v>CREA/CAU: 332.425/D-MG</v>
      </c>
      <c r="K65" s="97"/>
      <c r="L65" s="97"/>
      <c r="T65" s="641" t="str">
        <f ca="1"/>
        <v>CREA/CAU: 332.425/D-MG</v>
      </c>
      <c r="U65" s="96"/>
      <c r="AB65" s="641" t="str">
        <f ca="1"/>
        <v>CREA/CAU: 332.425/D-MG</v>
      </c>
      <c r="AC65" s="96"/>
    </row>
    <row r="66" spans="3:29" ht="12.75" customHeight="1" x14ac:dyDescent="0.2">
      <c r="F66" s="178" t="s">
        <v>189</v>
      </c>
      <c r="I66" s="641" t="str">
        <f ca="1"/>
        <v>ART/RRT: MG20242766780</v>
      </c>
      <c r="K66" s="97"/>
      <c r="L66" s="97"/>
      <c r="T66" s="641" t="str">
        <f ca="1"/>
        <v>ART/RRT: MG20242766780</v>
      </c>
      <c r="U66" s="96"/>
      <c r="AB66" s="641" t="str">
        <f ca="1"/>
        <v>ART/RRT: MG20242766780</v>
      </c>
      <c r="AC66" s="96"/>
    </row>
    <row r="67" spans="3:29" ht="12.75" customHeight="1" x14ac:dyDescent="0.2">
      <c r="C67"/>
      <c r="M67"/>
    </row>
    <row r="68" spans="3:29" ht="12.75" customHeight="1" x14ac:dyDescent="0.2">
      <c r="C68"/>
      <c r="M68"/>
    </row>
    <row r="69" spans="3:29" ht="12.75" customHeight="1" x14ac:dyDescent="0.2">
      <c r="C69"/>
      <c r="M69"/>
    </row>
    <row r="70" spans="3:29" ht="12.75" customHeight="1" x14ac:dyDescent="0.2">
      <c r="C70"/>
      <c r="M70"/>
    </row>
    <row r="71" spans="3:29" ht="12.75" customHeight="1" x14ac:dyDescent="0.2">
      <c r="C71"/>
      <c r="M71"/>
    </row>
    <row r="72" spans="3:29" ht="12.75" customHeight="1" x14ac:dyDescent="0.2">
      <c r="C72"/>
      <c r="M72"/>
    </row>
    <row r="73" spans="3:29" ht="12.75" customHeight="1" x14ac:dyDescent="0.2">
      <c r="C73"/>
      <c r="M73"/>
    </row>
    <row r="74" spans="3:29" ht="12.75" customHeight="1" x14ac:dyDescent="0.2">
      <c r="C74"/>
      <c r="M74"/>
    </row>
    <row r="75" spans="3:29" ht="12.75" customHeight="1" x14ac:dyDescent="0.2">
      <c r="C75"/>
      <c r="M75"/>
    </row>
    <row r="76" spans="3:29" ht="12.75" customHeight="1" x14ac:dyDescent="0.2">
      <c r="C76"/>
      <c r="M76"/>
    </row>
    <row r="77" spans="3:29" ht="12.75" customHeight="1" x14ac:dyDescent="0.2">
      <c r="C77"/>
      <c r="M77"/>
    </row>
    <row r="78" spans="3:29" ht="12.75" customHeight="1" x14ac:dyDescent="0.2">
      <c r="C78"/>
      <c r="M78"/>
    </row>
    <row r="79" spans="3:29" ht="12.75" customHeight="1" x14ac:dyDescent="0.2">
      <c r="C79"/>
      <c r="M79"/>
    </row>
    <row r="80" spans="3:29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294" spans="3:13" ht="12.75" customHeight="1" x14ac:dyDescent="0.2">
      <c r="C4294"/>
      <c r="M4294"/>
    </row>
    <row r="4295" spans="3:13" ht="12.75" customHeight="1" x14ac:dyDescent="0.2">
      <c r="C4295"/>
      <c r="M4295"/>
    </row>
    <row r="4296" spans="3:13" ht="12.75" customHeight="1" x14ac:dyDescent="0.2">
      <c r="C4296"/>
      <c r="M4296"/>
    </row>
    <row r="4297" spans="3:13" ht="12.75" customHeight="1" x14ac:dyDescent="0.2">
      <c r="C4297"/>
      <c r="M4297"/>
    </row>
    <row r="4298" spans="3:13" ht="12.75" customHeight="1" x14ac:dyDescent="0.2">
      <c r="C4298"/>
      <c r="M4298"/>
    </row>
    <row r="4299" spans="3:13" ht="12.75" customHeight="1" x14ac:dyDescent="0.2">
      <c r="C4299"/>
      <c r="M4299"/>
    </row>
    <row r="4309" spans="3:13" ht="12.75" customHeight="1" x14ac:dyDescent="0.2">
      <c r="C4309"/>
      <c r="M4309"/>
    </row>
    <row r="4310" spans="3:13" ht="12.75" customHeight="1" x14ac:dyDescent="0.2">
      <c r="C4310"/>
      <c r="M4310"/>
    </row>
    <row r="4311" spans="3:13" ht="12.75" customHeight="1" x14ac:dyDescent="0.2">
      <c r="C4311"/>
      <c r="M4311"/>
    </row>
    <row r="4312" spans="3:13" ht="12.75" customHeight="1" x14ac:dyDescent="0.2">
      <c r="C4312"/>
      <c r="M4312"/>
    </row>
    <row r="60970" spans="3:13" ht="12.75" customHeight="1" x14ac:dyDescent="0.2">
      <c r="C60970"/>
      <c r="M60970"/>
    </row>
    <row r="60986" spans="3:13" ht="12.75" customHeight="1" x14ac:dyDescent="0.2">
      <c r="C60986"/>
      <c r="M60986"/>
    </row>
    <row r="61002" spans="3:13" ht="12.75" customHeight="1" x14ac:dyDescent="0.2">
      <c r="C61002"/>
      <c r="M61002"/>
    </row>
    <row r="61018" spans="3:13" ht="12.75" customHeight="1" x14ac:dyDescent="0.2">
      <c r="C61018"/>
      <c r="M61018"/>
    </row>
    <row r="61031" spans="3:13" ht="12.75" customHeight="1" x14ac:dyDescent="0.2">
      <c r="C61031"/>
      <c r="M61031"/>
    </row>
    <row r="61032" spans="3:13" ht="12.75" customHeight="1" x14ac:dyDescent="0.2">
      <c r="C61032"/>
      <c r="M61032"/>
    </row>
    <row r="61034" spans="3:13" ht="12.75" customHeight="1" x14ac:dyDescent="0.2">
      <c r="C61034"/>
      <c r="M61034"/>
    </row>
    <row r="61045" spans="3:13" ht="12.75" customHeight="1" x14ac:dyDescent="0.2">
      <c r="C61045"/>
      <c r="M61045"/>
    </row>
    <row r="61046" spans="3:13" ht="12.75" customHeight="1" x14ac:dyDescent="0.2">
      <c r="C61046"/>
      <c r="M61046"/>
    </row>
    <row r="61047" spans="3:13" ht="12.75" customHeight="1" x14ac:dyDescent="0.2">
      <c r="C61047"/>
      <c r="M61047"/>
    </row>
    <row r="61048" spans="3:13" ht="12.75" customHeight="1" x14ac:dyDescent="0.2">
      <c r="C61048"/>
      <c r="M61048"/>
    </row>
    <row r="61050" spans="3:13" ht="12.75" customHeight="1" x14ac:dyDescent="0.2">
      <c r="C61050"/>
      <c r="M61050"/>
    </row>
    <row r="61061" spans="3:13" ht="12.75" customHeight="1" x14ac:dyDescent="0.2">
      <c r="C61061"/>
      <c r="M61061"/>
    </row>
    <row r="61062" spans="3:13" ht="12.75" customHeight="1" x14ac:dyDescent="0.2">
      <c r="C61062"/>
      <c r="M61062"/>
    </row>
    <row r="61063" spans="3:13" ht="12.75" customHeight="1" x14ac:dyDescent="0.2">
      <c r="C61063"/>
      <c r="M61063"/>
    </row>
    <row r="61064" spans="3:13" ht="12.75" customHeight="1" x14ac:dyDescent="0.2">
      <c r="C61064"/>
      <c r="M61064"/>
    </row>
    <row r="61066" spans="3:13" ht="12.75" customHeight="1" x14ac:dyDescent="0.2">
      <c r="C61066"/>
      <c r="M61066"/>
    </row>
    <row r="61077" spans="3:13" ht="12.75" customHeight="1" x14ac:dyDescent="0.2">
      <c r="C61077"/>
      <c r="M61077"/>
    </row>
    <row r="61078" spans="3:13" ht="12.75" customHeight="1" x14ac:dyDescent="0.2">
      <c r="C61078"/>
      <c r="M61078"/>
    </row>
    <row r="61079" spans="3:13" ht="12.75" customHeight="1" x14ac:dyDescent="0.2">
      <c r="C61079"/>
      <c r="M61079"/>
    </row>
    <row r="61080" spans="3:13" ht="12.75" customHeight="1" x14ac:dyDescent="0.2">
      <c r="C61080"/>
      <c r="M61080"/>
    </row>
    <row r="61082" spans="3:13" ht="12.75" customHeight="1" x14ac:dyDescent="0.2">
      <c r="C61082"/>
      <c r="M61082"/>
    </row>
    <row r="61093" spans="3:13" ht="12.75" customHeight="1" x14ac:dyDescent="0.2">
      <c r="C61093"/>
      <c r="M61093"/>
    </row>
    <row r="61094" spans="3:13" ht="12.75" customHeight="1" x14ac:dyDescent="0.2">
      <c r="C61094"/>
      <c r="M61094"/>
    </row>
    <row r="61095" spans="3:13" ht="12.75" customHeight="1" x14ac:dyDescent="0.2">
      <c r="C61095"/>
      <c r="M61095"/>
    </row>
    <row r="61096" spans="3:13" ht="12.75" customHeight="1" x14ac:dyDescent="0.2">
      <c r="C61096"/>
      <c r="M61096"/>
    </row>
    <row r="61098" spans="3:13" ht="12.75" customHeight="1" x14ac:dyDescent="0.2">
      <c r="C61098"/>
      <c r="M61098"/>
    </row>
    <row r="61109" spans="3:13" ht="12.75" customHeight="1" x14ac:dyDescent="0.2">
      <c r="C61109"/>
      <c r="M61109"/>
    </row>
    <row r="61110" spans="3:13" ht="12.75" customHeight="1" x14ac:dyDescent="0.2">
      <c r="C61110"/>
      <c r="M61110"/>
    </row>
    <row r="61111" spans="3:13" ht="12.75" customHeight="1" x14ac:dyDescent="0.2">
      <c r="C61111"/>
      <c r="M61111"/>
    </row>
    <row r="61112" spans="3:13" ht="12.75" customHeight="1" x14ac:dyDescent="0.2">
      <c r="C61112"/>
      <c r="M61112"/>
    </row>
    <row r="61114" spans="3:13" ht="12.75" customHeight="1" x14ac:dyDescent="0.2">
      <c r="C61114"/>
      <c r="M61114"/>
    </row>
    <row r="61125" spans="3:13" ht="12.75" customHeight="1" x14ac:dyDescent="0.2">
      <c r="C61125"/>
      <c r="M61125"/>
    </row>
    <row r="61126" spans="3:13" ht="12.75" customHeight="1" x14ac:dyDescent="0.2">
      <c r="C61126"/>
      <c r="M61126"/>
    </row>
    <row r="61127" spans="3:13" ht="12.75" customHeight="1" x14ac:dyDescent="0.2">
      <c r="C61127"/>
      <c r="M61127"/>
    </row>
    <row r="61128" spans="3:13" ht="12.75" customHeight="1" x14ac:dyDescent="0.2">
      <c r="C61128"/>
      <c r="M61128"/>
    </row>
    <row r="61130" spans="3:13" ht="12.75" customHeight="1" x14ac:dyDescent="0.2">
      <c r="C61130"/>
      <c r="M61130"/>
    </row>
    <row r="61141" spans="3:13" ht="12.75" customHeight="1" x14ac:dyDescent="0.2">
      <c r="C61141"/>
      <c r="M61141"/>
    </row>
    <row r="61142" spans="3:13" ht="12.75" customHeight="1" x14ac:dyDescent="0.2">
      <c r="C61142"/>
      <c r="M61142"/>
    </row>
    <row r="61143" spans="3:13" ht="12.75" customHeight="1" x14ac:dyDescent="0.2">
      <c r="C61143"/>
      <c r="M61143"/>
    </row>
    <row r="61144" spans="3:13" ht="12.75" customHeight="1" x14ac:dyDescent="0.2">
      <c r="C61144"/>
      <c r="M61144"/>
    </row>
    <row r="61146" spans="3:13" ht="12.75" customHeight="1" x14ac:dyDescent="0.2">
      <c r="C61146"/>
      <c r="M61146"/>
    </row>
    <row r="61157" spans="3:13" ht="12.75" customHeight="1" x14ac:dyDescent="0.2">
      <c r="C61157"/>
      <c r="M61157"/>
    </row>
    <row r="61158" spans="3:13" ht="12.75" customHeight="1" x14ac:dyDescent="0.2">
      <c r="C61158"/>
      <c r="M61158"/>
    </row>
    <row r="61159" spans="3:13" ht="12.75" customHeight="1" x14ac:dyDescent="0.2">
      <c r="C61159"/>
      <c r="M61159"/>
    </row>
    <row r="61160" spans="3:13" ht="12.75" customHeight="1" x14ac:dyDescent="0.2">
      <c r="C61160"/>
      <c r="M61160"/>
    </row>
    <row r="61162" spans="3:13" ht="12.75" customHeight="1" x14ac:dyDescent="0.2">
      <c r="C61162"/>
      <c r="M61162"/>
    </row>
    <row r="61170" spans="3:13" ht="12.75" customHeight="1" x14ac:dyDescent="0.2">
      <c r="C61170"/>
      <c r="M61170"/>
    </row>
    <row r="61173" spans="3:13" ht="12.75" customHeight="1" x14ac:dyDescent="0.2">
      <c r="C61173"/>
      <c r="M61173"/>
    </row>
    <row r="61174" spans="3:13" ht="12.75" customHeight="1" x14ac:dyDescent="0.2">
      <c r="C61174"/>
      <c r="M61174"/>
    </row>
    <row r="61175" spans="3:13" ht="12.75" customHeight="1" x14ac:dyDescent="0.2">
      <c r="C61175"/>
      <c r="M61175"/>
    </row>
    <row r="61176" spans="3:13" ht="12.75" customHeight="1" x14ac:dyDescent="0.2">
      <c r="C61176"/>
      <c r="M61176"/>
    </row>
    <row r="61178" spans="3:13" ht="12.75" customHeight="1" x14ac:dyDescent="0.2">
      <c r="C61178"/>
      <c r="M61178"/>
    </row>
    <row r="61186" spans="3:13" ht="12.75" customHeight="1" x14ac:dyDescent="0.2">
      <c r="C61186"/>
      <c r="M61186"/>
    </row>
    <row r="61189" spans="3:13" ht="12.75" customHeight="1" x14ac:dyDescent="0.2">
      <c r="C61189"/>
      <c r="M61189"/>
    </row>
    <row r="61190" spans="3:13" ht="12.75" customHeight="1" x14ac:dyDescent="0.2">
      <c r="C61190"/>
      <c r="M61190"/>
    </row>
    <row r="61191" spans="3:13" ht="12.75" customHeight="1" x14ac:dyDescent="0.2">
      <c r="C61191"/>
      <c r="M61191"/>
    </row>
    <row r="61192" spans="3:13" ht="12.75" customHeight="1" x14ac:dyDescent="0.2">
      <c r="C61192"/>
      <c r="M61192"/>
    </row>
    <row r="61194" spans="3:13" ht="12.75" customHeight="1" x14ac:dyDescent="0.2">
      <c r="C61194"/>
      <c r="M61194"/>
    </row>
    <row r="61202" spans="3:13" ht="12.75" customHeight="1" x14ac:dyDescent="0.2">
      <c r="C61202"/>
      <c r="M61202"/>
    </row>
    <row r="61203" spans="3:13" ht="12.75" customHeight="1" x14ac:dyDescent="0.2">
      <c r="C61203"/>
      <c r="M61203"/>
    </row>
    <row r="61205" spans="3:13" ht="12.75" customHeight="1" x14ac:dyDescent="0.2">
      <c r="C61205"/>
      <c r="M61205"/>
    </row>
    <row r="61206" spans="3:13" ht="12.75" customHeight="1" x14ac:dyDescent="0.2">
      <c r="C61206"/>
      <c r="M61206"/>
    </row>
    <row r="61207" spans="3:13" ht="12.75" customHeight="1" x14ac:dyDescent="0.2">
      <c r="C61207"/>
      <c r="M61207"/>
    </row>
    <row r="61208" spans="3:13" ht="12.75" customHeight="1" x14ac:dyDescent="0.2">
      <c r="C61208"/>
      <c r="M61208"/>
    </row>
    <row r="61210" spans="3:13" ht="12.75" customHeight="1" x14ac:dyDescent="0.2">
      <c r="C61210"/>
      <c r="M61210"/>
    </row>
    <row r="61218" spans="3:13" ht="12.75" customHeight="1" x14ac:dyDescent="0.2">
      <c r="C61218"/>
      <c r="M61218"/>
    </row>
    <row r="61219" spans="3:13" ht="12.75" customHeight="1" x14ac:dyDescent="0.2">
      <c r="C61219"/>
      <c r="M61219"/>
    </row>
    <row r="61220" spans="3:13" ht="12.75" customHeight="1" x14ac:dyDescent="0.2">
      <c r="C61220"/>
      <c r="M61220"/>
    </row>
    <row r="61221" spans="3:13" ht="12.75" customHeight="1" x14ac:dyDescent="0.2">
      <c r="C61221"/>
      <c r="M61221"/>
    </row>
    <row r="61222" spans="3:13" ht="12.75" customHeight="1" x14ac:dyDescent="0.2">
      <c r="C61222"/>
      <c r="M61222"/>
    </row>
    <row r="61223" spans="3:13" ht="12.75" customHeight="1" x14ac:dyDescent="0.2">
      <c r="C61223"/>
      <c r="M61223"/>
    </row>
    <row r="61224" spans="3:13" ht="12.75" customHeight="1" x14ac:dyDescent="0.2">
      <c r="C61224"/>
      <c r="M61224"/>
    </row>
    <row r="61226" spans="3:13" ht="12.75" customHeight="1" x14ac:dyDescent="0.2">
      <c r="C61226"/>
      <c r="M61226"/>
    </row>
    <row r="61234" spans="3:13" ht="12.75" customHeight="1" x14ac:dyDescent="0.2">
      <c r="C61234"/>
      <c r="M61234"/>
    </row>
    <row r="61235" spans="3:13" ht="12.75" customHeight="1" x14ac:dyDescent="0.2">
      <c r="C61235"/>
      <c r="M61235"/>
    </row>
    <row r="61236" spans="3:13" ht="12.75" customHeight="1" x14ac:dyDescent="0.2">
      <c r="C61236"/>
      <c r="M61236"/>
    </row>
    <row r="61237" spans="3:13" ht="12.75" customHeight="1" x14ac:dyDescent="0.2">
      <c r="C61237"/>
      <c r="M61237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2" spans="3:13" ht="12.75" customHeight="1" x14ac:dyDescent="0.2">
      <c r="C61242"/>
      <c r="M61242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1" spans="3:13" ht="12.75" customHeight="1" x14ac:dyDescent="0.2">
      <c r="C61251"/>
      <c r="M61251"/>
    </row>
    <row r="61252" spans="3:13" ht="12.75" customHeight="1" x14ac:dyDescent="0.2">
      <c r="C61252"/>
      <c r="M61252"/>
    </row>
    <row r="61253" spans="3:13" ht="12.75" customHeight="1" x14ac:dyDescent="0.2">
      <c r="C61253"/>
      <c r="M61253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69" spans="3:13" ht="12.75" customHeight="1" x14ac:dyDescent="0.2">
      <c r="C61269"/>
      <c r="M61269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5" spans="3:13" ht="12.75" customHeight="1" x14ac:dyDescent="0.2">
      <c r="C61285"/>
      <c r="M61285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  <row r="65323" spans="3:13" ht="12.75" customHeight="1" x14ac:dyDescent="0.2">
      <c r="C65323"/>
      <c r="M65323"/>
    </row>
    <row r="65324" spans="3:13" ht="12.75" customHeight="1" x14ac:dyDescent="0.2">
      <c r="C65324"/>
      <c r="M65324"/>
    </row>
    <row r="65325" spans="3:13" ht="12.75" customHeight="1" x14ac:dyDescent="0.2">
      <c r="C65325"/>
      <c r="M65325"/>
    </row>
    <row r="65326" spans="3:13" ht="12.75" customHeight="1" x14ac:dyDescent="0.2">
      <c r="C65326"/>
      <c r="M65326"/>
    </row>
  </sheetData>
  <sheetProtection password="BD1F" sheet="1" objects="1" scenarios="1" autoFilter="0"/>
  <autoFilter ref="C15:C58"/>
  <mergeCells count="21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AG1:AH1"/>
    <mergeCell ref="AG2:AH2"/>
    <mergeCell ref="AA4:AB4"/>
    <mergeCell ref="AC4:AH4"/>
    <mergeCell ref="AA5:AB5"/>
    <mergeCell ref="AC5:AH5"/>
  </mergeCells>
  <phoneticPr fontId="38" type="noConversion"/>
  <conditionalFormatting sqref="D14:I14 D45:H48 D49:I49 D50:H56">
    <cfRule type="expression" dxfId="227" priority="5416" stopIfTrue="1">
      <formula>$B14=1</formula>
    </cfRule>
    <cfRule type="expression" dxfId="226" priority="5417" stopIfTrue="1">
      <formula>OR($B14=0,$B14=2,$B14=3,$B14=4)</formula>
    </cfRule>
  </conditionalFormatting>
  <conditionalFormatting sqref="M12:N15 M58:N58 M45:N56">
    <cfRule type="expression" dxfId="225" priority="5418" stopIfTrue="1">
      <formula>ACOMPANHAMENTO="BM"</formula>
    </cfRule>
    <cfRule type="expression" dxfId="224" priority="5419" stopIfTrue="1">
      <formula>OR($B12=0,$B12=2,$B12=3,$B12=4)</formula>
    </cfRule>
    <cfRule type="expression" dxfId="223" priority="5420" stopIfTrue="1">
      <formula>$B12=1</formula>
    </cfRule>
  </conditionalFormatting>
  <conditionalFormatting sqref="K12:K15 K45:K58">
    <cfRule type="expression" dxfId="222" priority="5421" stopIfTrue="1">
      <formula>OR(ACOMPANHAMENTO="BM",$A$12&lt;&gt;"Manual")</formula>
    </cfRule>
    <cfRule type="expression" dxfId="221" priority="5422" stopIfTrue="1">
      <formula>$B12=1</formula>
    </cfRule>
    <cfRule type="expression" dxfId="220" priority="5423" stopIfTrue="1">
      <formula>OR($B12=2,$B12=3,$B12=4,$B12=0)</formula>
    </cfRule>
  </conditionalFormatting>
  <conditionalFormatting sqref="AI12:AI26 AI30:AI48 AI28 O12:Z15 O45:Z47 O48:AD48 O49:AI58">
    <cfRule type="expression" dxfId="219" priority="5424" stopIfTrue="1">
      <formula>ACOMPANHAMENTO="BM"</formula>
    </cfRule>
    <cfRule type="expression" dxfId="218" priority="5425" stopIfTrue="1">
      <formula>AND(O$12&lt;&gt;".",OR($B12=0,$B12=2,$B12=3,$B12=4,AND(O$12="",$B12&lt;&gt;"Empty"),OFFSET(O$12,0,-1)=""))</formula>
    </cfRule>
    <cfRule type="expression" dxfId="217" priority="5426" stopIfTrue="1">
      <formula>AND($B12=1,O$12&lt;&gt;".")</formula>
    </cfRule>
  </conditionalFormatting>
  <conditionalFormatting sqref="D16:I21 D22:H24 I22:I29">
    <cfRule type="expression" dxfId="216" priority="400" stopIfTrue="1">
      <formula>$B16=1</formula>
    </cfRule>
    <cfRule type="expression" dxfId="215" priority="401" stopIfTrue="1">
      <formula>OR($B16=0,$B16=2,$B16=3,$B16=4)</formula>
    </cfRule>
  </conditionalFormatting>
  <conditionalFormatting sqref="M16:N24">
    <cfRule type="expression" dxfId="214" priority="402" stopIfTrue="1">
      <formula>ACOMPANHAMENTO="BM"</formula>
    </cfRule>
    <cfRule type="expression" dxfId="213" priority="403" stopIfTrue="1">
      <formula>OR($B16=0,$B16=2,$B16=3,$B16=4)</formula>
    </cfRule>
    <cfRule type="expression" dxfId="212" priority="404" stopIfTrue="1">
      <formula>$B16=1</formula>
    </cfRule>
  </conditionalFormatting>
  <conditionalFormatting sqref="K16:K24">
    <cfRule type="expression" dxfId="211" priority="405" stopIfTrue="1">
      <formula>OR(ACOMPANHAMENTO="BM",$A$12&lt;&gt;"Manual")</formula>
    </cfRule>
    <cfRule type="expression" dxfId="210" priority="406" stopIfTrue="1">
      <formula>$B16=1</formula>
    </cfRule>
    <cfRule type="expression" dxfId="209" priority="407" stopIfTrue="1">
      <formula>OR($B16=2,$B16=3,$B16=4,$B16=0)</formula>
    </cfRule>
  </conditionalFormatting>
  <conditionalFormatting sqref="O24:P24 O16:Z20 O22:Z22 O21:AD21 O23:AD23">
    <cfRule type="expression" dxfId="208" priority="408" stopIfTrue="1">
      <formula>ACOMPANHAMENTO="BM"</formula>
    </cfRule>
    <cfRule type="expression" dxfId="207" priority="409" stopIfTrue="1">
      <formula>AND(O$12&lt;&gt;".",OR($B16=0,$B16=2,$B16=3,$B16=4,AND(O$12="",$B16&lt;&gt;"Empty"),OFFSET(O$12,0,-1)=""))</formula>
    </cfRule>
    <cfRule type="expression" dxfId="206" priority="410" stopIfTrue="1">
      <formula>AND($B16=1,O$12&lt;&gt;".")</formula>
    </cfRule>
  </conditionalFormatting>
  <conditionalFormatting sqref="D25:H26 D30:I30 D28:H28 D31:H35">
    <cfRule type="expression" dxfId="205" priority="389" stopIfTrue="1">
      <formula>$B25=1</formula>
    </cfRule>
    <cfRule type="expression" dxfId="204" priority="390" stopIfTrue="1">
      <formula>OR($B25=0,$B25=2,$B25=3,$B25=4)</formula>
    </cfRule>
  </conditionalFormatting>
  <conditionalFormatting sqref="M25:N26 M30:N35 M28:N28">
    <cfRule type="expression" dxfId="203" priority="391" stopIfTrue="1">
      <formula>ACOMPANHAMENTO="BM"</formula>
    </cfRule>
    <cfRule type="expression" dxfId="202" priority="392" stopIfTrue="1">
      <formula>OR($B25=0,$B25=2,$B25=3,$B25=4)</formula>
    </cfRule>
    <cfRule type="expression" dxfId="201" priority="393" stopIfTrue="1">
      <formula>$B25=1</formula>
    </cfRule>
  </conditionalFormatting>
  <conditionalFormatting sqref="K25:K26 K30:K35 K28">
    <cfRule type="expression" dxfId="200" priority="394" stopIfTrue="1">
      <formula>OR(ACOMPANHAMENTO="BM",$A$12&lt;&gt;"Manual")</formula>
    </cfRule>
    <cfRule type="expression" dxfId="199" priority="395" stopIfTrue="1">
      <formula>$B25=1</formula>
    </cfRule>
    <cfRule type="expression" dxfId="198" priority="396" stopIfTrue="1">
      <formula>OR($B25=2,$B25=3,$B25=4,$B25=0)</formula>
    </cfRule>
  </conditionalFormatting>
  <conditionalFormatting sqref="O28:P28 O25:Z26 O30:Z33 O35:Z35 O34:AD34">
    <cfRule type="expression" dxfId="197" priority="397" stopIfTrue="1">
      <formula>ACOMPANHAMENTO="BM"</formula>
    </cfRule>
    <cfRule type="expression" dxfId="196" priority="398" stopIfTrue="1">
      <formula>AND(O$12&lt;&gt;".",OR($B25=0,$B25=2,$B25=3,$B25=4,AND(O$12="",$B25&lt;&gt;"Empty"),OFFSET(O$12,0,-1)=""))</formula>
    </cfRule>
    <cfRule type="expression" dxfId="195" priority="399" stopIfTrue="1">
      <formula>AND($B25=1,O$12&lt;&gt;".")</formula>
    </cfRule>
  </conditionalFormatting>
  <conditionalFormatting sqref="D36:H44">
    <cfRule type="expression" dxfId="194" priority="378" stopIfTrue="1">
      <formula>$B36=1</formula>
    </cfRule>
    <cfRule type="expression" dxfId="193" priority="379" stopIfTrue="1">
      <formula>OR($B36=0,$B36=2,$B36=3,$B36=4)</formula>
    </cfRule>
  </conditionalFormatting>
  <conditionalFormatting sqref="M36:N44">
    <cfRule type="expression" dxfId="192" priority="380" stopIfTrue="1">
      <formula>ACOMPANHAMENTO="BM"</formula>
    </cfRule>
    <cfRule type="expression" dxfId="191" priority="381" stopIfTrue="1">
      <formula>OR($B36=0,$B36=2,$B36=3,$B36=4)</formula>
    </cfRule>
    <cfRule type="expression" dxfId="190" priority="382" stopIfTrue="1">
      <formula>$B36=1</formula>
    </cfRule>
  </conditionalFormatting>
  <conditionalFormatting sqref="K36:K44">
    <cfRule type="expression" dxfId="189" priority="383" stopIfTrue="1">
      <formula>OR(ACOMPANHAMENTO="BM",$A$12&lt;&gt;"Manual")</formula>
    </cfRule>
    <cfRule type="expression" dxfId="188" priority="384" stopIfTrue="1">
      <formula>$B36=1</formula>
    </cfRule>
    <cfRule type="expression" dxfId="187" priority="385" stopIfTrue="1">
      <formula>OR($B36=2,$B36=3,$B36=4,$B36=0)</formula>
    </cfRule>
  </conditionalFormatting>
  <conditionalFormatting sqref="O36:Z44">
    <cfRule type="expression" dxfId="186" priority="386" stopIfTrue="1">
      <formula>ACOMPANHAMENTO="BM"</formula>
    </cfRule>
    <cfRule type="expression" dxfId="185" priority="387" stopIfTrue="1">
      <formula>AND(O$12&lt;&gt;".",OR($B36=0,$B36=2,$B36=3,$B36=4,AND(O$12="",$B36&lt;&gt;"Empty"),OFFSET(O$12,0,-1)=""))</formula>
    </cfRule>
    <cfRule type="expression" dxfId="184" priority="388" stopIfTrue="1">
      <formula>AND($B36=1,O$12&lt;&gt;".")</formula>
    </cfRule>
  </conditionalFormatting>
  <conditionalFormatting sqref="AA12:AH15 AE48:AH48 Z12:AC12 Z45:AH47">
    <cfRule type="expression" dxfId="183" priority="88" stopIfTrue="1">
      <formula>ACOMPANHAMENTO="BM"</formula>
    </cfRule>
    <cfRule type="expression" dxfId="182" priority="89" stopIfTrue="1">
      <formula>AND(Z$12&lt;&gt;".",OR($B12=0,$B12=2,$B12=3,$B12=4,AND(Z$12="",$B12&lt;&gt;"Empty"),OFFSET(Z$12,0,-1)=""))</formula>
    </cfRule>
    <cfRule type="expression" dxfId="181" priority="90" stopIfTrue="1">
      <formula>AND($B12=1,Z$12&lt;&gt;".")</formula>
    </cfRule>
  </conditionalFormatting>
  <conditionalFormatting sqref="AA16:AH20 AE21:AH21 AE23:AH24 Z19:AC20 Z22:AH22">
    <cfRule type="expression" dxfId="180" priority="85" stopIfTrue="1">
      <formula>ACOMPANHAMENTO="BM"</formula>
    </cfRule>
    <cfRule type="expression" dxfId="179" priority="86" stopIfTrue="1">
      <formula>AND(Z$12&lt;&gt;".",OR($B16=0,$B16=2,$B16=3,$B16=4,AND(Z$12="",$B16&lt;&gt;"Empty"),OFFSET(Z$12,0,-1)=""))</formula>
    </cfRule>
    <cfRule type="expression" dxfId="178" priority="87" stopIfTrue="1">
      <formula>AND($B16=1,Z$12&lt;&gt;".")</formula>
    </cfRule>
  </conditionalFormatting>
  <conditionalFormatting sqref="AE28:AH28 AE34:AH34 Z25:AH26 Z30:AH33 Z35:AH35">
    <cfRule type="expression" dxfId="177" priority="82" stopIfTrue="1">
      <formula>ACOMPANHAMENTO="BM"</formula>
    </cfRule>
    <cfRule type="expression" dxfId="176" priority="83" stopIfTrue="1">
      <formula>AND(Z$12&lt;&gt;".",OR($B25=0,$B25=2,$B25=3,$B25=4,AND(Z$12="",$B25&lt;&gt;"Empty"),OFFSET(Z$12,0,-1)=""))</formula>
    </cfRule>
    <cfRule type="expression" dxfId="175" priority="84" stopIfTrue="1">
      <formula>AND($B25=1,Z$12&lt;&gt;".")</formula>
    </cfRule>
  </conditionalFormatting>
  <conditionalFormatting sqref="Z36:AH44">
    <cfRule type="expression" dxfId="174" priority="79" stopIfTrue="1">
      <formula>ACOMPANHAMENTO="BM"</formula>
    </cfRule>
    <cfRule type="expression" dxfId="173" priority="80" stopIfTrue="1">
      <formula>AND(Z$12&lt;&gt;".",OR($B36=0,$B36=2,$B36=3,$B36=4,AND(Z$12="",$B36&lt;&gt;"Empty"),OFFSET(Z$12,0,-1)=""))</formula>
    </cfRule>
    <cfRule type="expression" dxfId="172" priority="81" stopIfTrue="1">
      <formula>AND($B36=1,Z$12&lt;&gt;".")</formula>
    </cfRule>
  </conditionalFormatting>
  <conditionalFormatting sqref="Q28:Z28">
    <cfRule type="expression" dxfId="171" priority="76" stopIfTrue="1">
      <formula>ACOMPANHAMENTO="BM"</formula>
    </cfRule>
    <cfRule type="expression" dxfId="170" priority="77" stopIfTrue="1">
      <formula>AND(Q$12&lt;&gt;".",OR($B28=0,$B28=2,$B28=3,$B28=4,AND(Q$12="",$B28&lt;&gt;"Empty"),OFFSET(Q$12,0,-1)=""))</formula>
    </cfRule>
    <cfRule type="expression" dxfId="169" priority="78" stopIfTrue="1">
      <formula>AND($B28=1,Q$12&lt;&gt;".")</formula>
    </cfRule>
  </conditionalFormatting>
  <conditionalFormatting sqref="Z28:AD28">
    <cfRule type="expression" dxfId="168" priority="73" stopIfTrue="1">
      <formula>ACOMPANHAMENTO="BM"</formula>
    </cfRule>
    <cfRule type="expression" dxfId="167" priority="74" stopIfTrue="1">
      <formula>AND(Z$12&lt;&gt;".",OR($B28=0,$B28=2,$B28=3,$B28=4,AND(Z$12="",$B28&lt;&gt;"Empty"),OFFSET(Z$12,0,-1)=""))</formula>
    </cfRule>
    <cfRule type="expression" dxfId="166" priority="75" stopIfTrue="1">
      <formula>AND($B28=1,Z$12&lt;&gt;".")</formula>
    </cfRule>
  </conditionalFormatting>
  <conditionalFormatting sqref="D29:H29">
    <cfRule type="expression" dxfId="165" priority="62" stopIfTrue="1">
      <formula>$B29=1</formula>
    </cfRule>
    <cfRule type="expression" dxfId="164" priority="63" stopIfTrue="1">
      <formula>OR($B29=0,$B29=2,$B29=3,$B29=4)</formula>
    </cfRule>
  </conditionalFormatting>
  <conditionalFormatting sqref="M29:N29">
    <cfRule type="expression" dxfId="163" priority="64" stopIfTrue="1">
      <formula>ACOMPANHAMENTO="BM"</formula>
    </cfRule>
    <cfRule type="expression" dxfId="162" priority="65" stopIfTrue="1">
      <formula>OR($B29=0,$B29=2,$B29=3,$B29=4)</formula>
    </cfRule>
    <cfRule type="expression" dxfId="161" priority="66" stopIfTrue="1">
      <formula>$B29=1</formula>
    </cfRule>
  </conditionalFormatting>
  <conditionalFormatting sqref="K29">
    <cfRule type="expression" dxfId="160" priority="67" stopIfTrue="1">
      <formula>OR(ACOMPANHAMENTO="BM",$A$12&lt;&gt;"Manual")</formula>
    </cfRule>
    <cfRule type="expression" dxfId="159" priority="68" stopIfTrue="1">
      <formula>$B29=1</formula>
    </cfRule>
    <cfRule type="expression" dxfId="158" priority="69" stopIfTrue="1">
      <formula>OR($B29=2,$B29=3,$B29=4,$B29=0)</formula>
    </cfRule>
  </conditionalFormatting>
  <conditionalFormatting sqref="AI29 O29:P29">
    <cfRule type="expression" dxfId="157" priority="70" stopIfTrue="1">
      <formula>ACOMPANHAMENTO="BM"</formula>
    </cfRule>
    <cfRule type="expression" dxfId="156" priority="71" stopIfTrue="1">
      <formula>AND(O$12&lt;&gt;".",OR($B29=0,$B29=2,$B29=3,$B29=4,AND(O$12="",$B29&lt;&gt;"Empty"),OFFSET(O$12,0,-1)=""))</formula>
    </cfRule>
    <cfRule type="expression" dxfId="155" priority="72" stopIfTrue="1">
      <formula>AND($B29=1,O$12&lt;&gt;".")</formula>
    </cfRule>
  </conditionalFormatting>
  <conditionalFormatting sqref="AD29:AH29">
    <cfRule type="expression" dxfId="154" priority="59" stopIfTrue="1">
      <formula>ACOMPANHAMENTO="BM"</formula>
    </cfRule>
    <cfRule type="expression" dxfId="153" priority="60" stopIfTrue="1">
      <formula>AND(AD$12&lt;&gt;".",OR($B29=0,$B29=2,$B29=3,$B29=4,AND(AD$12="",$B29&lt;&gt;"Empty"),OFFSET(AD$12,0,-1)=""))</formula>
    </cfRule>
    <cfRule type="expression" dxfId="152" priority="61" stopIfTrue="1">
      <formula>AND($B29=1,AD$12&lt;&gt;".")</formula>
    </cfRule>
  </conditionalFormatting>
  <conditionalFormatting sqref="D27:H27">
    <cfRule type="expression" dxfId="151" priority="48" stopIfTrue="1">
      <formula>$B27=1</formula>
    </cfRule>
    <cfRule type="expression" dxfId="150" priority="49" stopIfTrue="1">
      <formula>OR($B27=0,$B27=2,$B27=3,$B27=4)</formula>
    </cfRule>
  </conditionalFormatting>
  <conditionalFormatting sqref="M27:N27">
    <cfRule type="expression" dxfId="149" priority="50" stopIfTrue="1">
      <formula>ACOMPANHAMENTO="BM"</formula>
    </cfRule>
    <cfRule type="expression" dxfId="148" priority="51" stopIfTrue="1">
      <formula>OR($B27=0,$B27=2,$B27=3,$B27=4)</formula>
    </cfRule>
    <cfRule type="expression" dxfId="147" priority="52" stopIfTrue="1">
      <formula>$B27=1</formula>
    </cfRule>
  </conditionalFormatting>
  <conditionalFormatting sqref="K27">
    <cfRule type="expression" dxfId="146" priority="53" stopIfTrue="1">
      <formula>OR(ACOMPANHAMENTO="BM",$A$12&lt;&gt;"Manual")</formula>
    </cfRule>
    <cfRule type="expression" dxfId="145" priority="54" stopIfTrue="1">
      <formula>$B27=1</formula>
    </cfRule>
    <cfRule type="expression" dxfId="144" priority="55" stopIfTrue="1">
      <formula>OR($B27=2,$B27=3,$B27=4,$B27=0)</formula>
    </cfRule>
  </conditionalFormatting>
  <conditionalFormatting sqref="AI27 O27:Z27">
    <cfRule type="expression" dxfId="143" priority="56" stopIfTrue="1">
      <formula>ACOMPANHAMENTO="BM"</formula>
    </cfRule>
    <cfRule type="expression" dxfId="142" priority="57" stopIfTrue="1">
      <formula>AND(O$12&lt;&gt;".",OR($B27=0,$B27=2,$B27=3,$B27=4,AND(O$12="",$B27&lt;&gt;"Empty"),OFFSET(O$12,0,-1)=""))</formula>
    </cfRule>
    <cfRule type="expression" dxfId="141" priority="58" stopIfTrue="1">
      <formula>AND($B27=1,O$12&lt;&gt;".")</formula>
    </cfRule>
  </conditionalFormatting>
  <conditionalFormatting sqref="Z27:AH27">
    <cfRule type="expression" dxfId="140" priority="45" stopIfTrue="1">
      <formula>ACOMPANHAMENTO="BM"</formula>
    </cfRule>
    <cfRule type="expression" dxfId="139" priority="46" stopIfTrue="1">
      <formula>AND(Z$12&lt;&gt;".",OR($B27=0,$B27=2,$B27=3,$B27=4,AND(Z$12="",$B27&lt;&gt;"Empty"),OFFSET(Z$12,0,-1)=""))</formula>
    </cfRule>
    <cfRule type="expression" dxfId="138" priority="47" stopIfTrue="1">
      <formula>AND($B27=1,Z$12&lt;&gt;".")</formula>
    </cfRule>
  </conditionalFormatting>
  <conditionalFormatting sqref="Q24:Z24">
    <cfRule type="expression" dxfId="137" priority="42" stopIfTrue="1">
      <formula>ACOMPANHAMENTO="BM"</formula>
    </cfRule>
    <cfRule type="expression" dxfId="136" priority="43" stopIfTrue="1">
      <formula>AND(Q$12&lt;&gt;".",OR($B24=0,$B24=2,$B24=3,$B24=4,AND(Q$12="",$B24&lt;&gt;"Empty"),OFFSET(Q$12,0,-1)=""))</formula>
    </cfRule>
    <cfRule type="expression" dxfId="135" priority="44" stopIfTrue="1">
      <formula>AND($B24=1,Q$12&lt;&gt;".")</formula>
    </cfRule>
  </conditionalFormatting>
  <conditionalFormatting sqref="Z24:AD24">
    <cfRule type="expression" dxfId="134" priority="39" stopIfTrue="1">
      <formula>ACOMPANHAMENTO="BM"</formula>
    </cfRule>
    <cfRule type="expression" dxfId="133" priority="40" stopIfTrue="1">
      <formula>AND(Z$12&lt;&gt;".",OR($B24=0,$B24=2,$B24=3,$B24=4,AND(Z$12="",$B24&lt;&gt;"Empty"),OFFSET(Z$12,0,-1)=""))</formula>
    </cfRule>
    <cfRule type="expression" dxfId="132" priority="41" stopIfTrue="1">
      <formula>AND($B24=1,Z$12&lt;&gt;".")</formula>
    </cfRule>
  </conditionalFormatting>
  <conditionalFormatting sqref="I31:I48">
    <cfRule type="expression" dxfId="131" priority="37" stopIfTrue="1">
      <formula>$B31=1</formula>
    </cfRule>
    <cfRule type="expression" dxfId="130" priority="38" stopIfTrue="1">
      <formula>OR($B31=0,$B31=2,$B31=3,$B31=4)</formula>
    </cfRule>
  </conditionalFormatting>
  <conditionalFormatting sqref="Q29:Z29">
    <cfRule type="expression" dxfId="129" priority="34" stopIfTrue="1">
      <formula>ACOMPANHAMENTO="BM"</formula>
    </cfRule>
    <cfRule type="expression" dxfId="128" priority="35" stopIfTrue="1">
      <formula>AND(Q$12&lt;&gt;".",OR($B29=0,$B29=2,$B29=3,$B29=4,AND(Q$12="",$B29&lt;&gt;"Empty"),OFFSET(Q$12,0,-1)=""))</formula>
    </cfRule>
    <cfRule type="expression" dxfId="127" priority="36" stopIfTrue="1">
      <formula>AND($B29=1,Q$12&lt;&gt;".")</formula>
    </cfRule>
  </conditionalFormatting>
  <conditionalFormatting sqref="Z29:AC29">
    <cfRule type="expression" dxfId="126" priority="31" stopIfTrue="1">
      <formula>ACOMPANHAMENTO="BM"</formula>
    </cfRule>
    <cfRule type="expression" dxfId="125" priority="32" stopIfTrue="1">
      <formula>AND(Z$12&lt;&gt;".",OR($B29=0,$B29=2,$B29=3,$B29=4,AND(Z$12="",$B29&lt;&gt;"Empty"),OFFSET(Z$12,0,-1)=""))</formula>
    </cfRule>
    <cfRule type="expression" dxfId="124" priority="33" stopIfTrue="1">
      <formula>AND($B29=1,Z$12&lt;&gt;".")</formula>
    </cfRule>
  </conditionalFormatting>
  <conditionalFormatting sqref="D57:H57">
    <cfRule type="expression" dxfId="123" priority="6" stopIfTrue="1">
      <formula>$B57=1</formula>
    </cfRule>
    <cfRule type="expression" dxfId="122" priority="7" stopIfTrue="1">
      <formula>OR($B57=0,$B57=2,$B57=3,$B57=4)</formula>
    </cfRule>
  </conditionalFormatting>
  <conditionalFormatting sqref="M57:N57">
    <cfRule type="expression" dxfId="121" priority="8" stopIfTrue="1">
      <formula>ACOMPANHAMENTO="BM"</formula>
    </cfRule>
    <cfRule type="expression" dxfId="120" priority="9" stopIfTrue="1">
      <formula>OR($B57=0,$B57=2,$B57=3,$B57=4)</formula>
    </cfRule>
    <cfRule type="expression" dxfId="119" priority="10" stopIfTrue="1">
      <formula>$B57=1</formula>
    </cfRule>
  </conditionalFormatting>
  <conditionalFormatting sqref="I50:I57">
    <cfRule type="expression" dxfId="118" priority="1" stopIfTrue="1">
      <formula>$B50=1</formula>
    </cfRule>
    <cfRule type="expression" dxfId="117" priority="2" stopIfTrue="1">
      <formula>OR($B50=0,$B50=2,$B50=3,$B50=4)</formula>
    </cfRule>
  </conditionalFormatting>
  <dataValidations count="4">
    <dataValidation type="decimal" operator="greaterThan" allowBlank="1" showErrorMessage="1" error="Apenas números decimais maiores que zero." sqref="O14 Q14:AH14 Q16:AH57 O16:O57">
      <formula1>0</formula1>
      <formula2>0</formula2>
    </dataValidation>
    <dataValidation type="list" allowBlank="1" showErrorMessage="1" sqref="K14 K16:K57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57"/>
    <dataValidation allowBlank="1" showInputMessage="1" showErrorMessage="1" prompt="A frente de obra é uma porção física da obra. Exemplos: Única; Rua A; Rua B; Trecho 01; Trecho 02; 1º Andar; 2º Andar; Copa; Banheiro" sqref="Q12"/>
  </dataValidations>
  <pageMargins left="0.23622047244094491" right="0.23622047244094491" top="0.74803149606299213" bottom="0.74803149606299213" header="0.31496062992125984" footer="0.31496062992125984"/>
  <pageSetup paperSize="9" scale="40" firstPageNumber="0" orientation="landscape" r:id="rId1"/>
  <headerFooter alignWithMargins="0">
    <oddHeader>&amp;C&amp;14I</oddHeader>
    <oddFooter>&amp;LPMv3.0.6&amp;R&amp;P / &amp;N</oddFooter>
  </headerFooter>
  <rowBreaks count="1" manualBreakCount="1">
    <brk id="50" min="4" max="27" man="1"/>
  </rowBreaks>
  <colBreaks count="1" manualBreakCount="1">
    <brk id="3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4"/>
  <sheetViews>
    <sheetView showGridLines="0" zoomScale="90" zoomScaleNormal="90" workbookViewId="0">
      <pane ySplit="14" topLeftCell="A15" activePane="bottomLeft" state="frozen"/>
      <selection pane="bottomLeft" activeCell="A23" sqref="A23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103" t="s">
        <v>264</v>
      </c>
    </row>
    <row r="4" spans="2:6" x14ac:dyDescent="0.2">
      <c r="C4" t="s">
        <v>265</v>
      </c>
    </row>
    <row r="6" spans="2:6" x14ac:dyDescent="0.2">
      <c r="C6" s="722" t="s">
        <v>408</v>
      </c>
      <c r="D6" s="722"/>
      <c r="E6" s="722"/>
      <c r="F6" s="722"/>
    </row>
    <row r="8" spans="2:6" ht="33.75" customHeight="1" x14ac:dyDescent="0.2"/>
    <row r="9" spans="2:6" ht="12" customHeight="1" x14ac:dyDescent="0.2">
      <c r="C9" s="723" t="str">
        <f>IF(ACOMPANHAMENTO="BM","Foi selecionado na aba 'MENU' o acompanhamento por BM. Não há necessidade de definição de Eventos.","")</f>
        <v/>
      </c>
      <c r="D9" s="723"/>
      <c r="E9" s="723"/>
      <c r="F9" s="723"/>
    </row>
    <row r="10" spans="2:6" ht="12" customHeight="1" x14ac:dyDescent="0.2">
      <c r="C10" s="723"/>
      <c r="D10" s="723"/>
      <c r="E10" s="723"/>
      <c r="F10" s="723"/>
    </row>
    <row r="11" spans="2:6" ht="12" customHeight="1" x14ac:dyDescent="0.2">
      <c r="C11" s="723"/>
      <c r="D11" s="723"/>
      <c r="E11" s="723"/>
      <c r="F11" s="723"/>
    </row>
    <row r="12" spans="2:6" ht="12" customHeight="1" x14ac:dyDescent="0.2"/>
    <row r="13" spans="2:6" ht="15" x14ac:dyDescent="0.25">
      <c r="C13" s="231" t="s">
        <v>266</v>
      </c>
      <c r="D13" s="724" t="s">
        <v>267</v>
      </c>
      <c r="E13" s="724"/>
      <c r="F13" s="232" t="s">
        <v>268</v>
      </c>
    </row>
    <row r="14" spans="2:6" hidden="1" x14ac:dyDescent="0.2">
      <c r="B14" t="e">
        <f ca="1">CONCATENATE(C14,".",D14)</f>
        <v>#VALUE!</v>
      </c>
      <c r="C14" s="233" t="e">
        <f ca="1">OFFSET(C14,-1,0)+1</f>
        <v>#VALUE!</v>
      </c>
      <c r="D14" s="721"/>
      <c r="E14" s="721"/>
      <c r="F14" s="234">
        <f ca="1">IF(AUTOEVENTO="Manual",ROUND(SUMPRODUCT((CÁLCULO!$M$15:$M$58=EVENTOS!$C14)*(OFFSET(CÁLCULO!$AI$15,0,1):OFFSET(CÁLCULO!$BB$58,0,-1))),2),0)</f>
        <v>0</v>
      </c>
    </row>
    <row r="15" spans="2:6" x14ac:dyDescent="0.2">
      <c r="B15" t="str">
        <f>CONCATENATE(C15,".",D15)</f>
        <v>1.Administração Local</v>
      </c>
      <c r="C15" s="235">
        <v>1</v>
      </c>
      <c r="D15" s="725" t="s">
        <v>269</v>
      </c>
      <c r="E15" s="725"/>
      <c r="F15" s="236">
        <f ca="1">IF(AUTOEVENTO="Manual",ROUND(SUMIF(CÁLCULO!$M$15:$M$58,1,ORÇAMENTO!$X$15:$X$58),2),0)</f>
        <v>0</v>
      </c>
    </row>
    <row r="16" spans="2:6" x14ac:dyDescent="0.2">
      <c r="B16" t="str">
        <f t="shared" ref="B16:B22" ca="1" si="0">CONCATENATE(C16,".",D16)</f>
        <v>2.</v>
      </c>
      <c r="C16" s="233">
        <f t="shared" ref="C16:C22" ca="1" si="1">OFFSET(C16,-1,0)+1</f>
        <v>2</v>
      </c>
      <c r="D16" s="721"/>
      <c r="E16" s="721"/>
      <c r="F16" s="234">
        <f ca="1">IF(AUTOEVENTO="Manual",ROUND(SUMPRODUCT((CÁLCULO!$M$15:$M$58=EVENTOS!$C16)*(OFFSET(CÁLCULO!$AI$15,0,1):OFFSET(CÁLCULO!$BB$58,0,-1))),2),0)</f>
        <v>0</v>
      </c>
    </row>
    <row r="17" spans="2:6" x14ac:dyDescent="0.2">
      <c r="B17" t="str">
        <f t="shared" ca="1" si="0"/>
        <v>3.</v>
      </c>
      <c r="C17" s="233">
        <f t="shared" ca="1" si="1"/>
        <v>3</v>
      </c>
      <c r="D17" s="721"/>
      <c r="E17" s="721"/>
      <c r="F17" s="234">
        <f ca="1">IF(AUTOEVENTO="Manual",ROUND(SUMPRODUCT((CÁLCULO!$M$15:$M$58=EVENTOS!$C17)*(OFFSET(CÁLCULO!$AI$15,0,1):OFFSET(CÁLCULO!$BB$58,0,-1))),2),0)</f>
        <v>0</v>
      </c>
    </row>
    <row r="18" spans="2:6" x14ac:dyDescent="0.2">
      <c r="B18" t="str">
        <f t="shared" ca="1" si="0"/>
        <v>4.</v>
      </c>
      <c r="C18" s="233">
        <f t="shared" ca="1" si="1"/>
        <v>4</v>
      </c>
      <c r="D18" s="721"/>
      <c r="E18" s="721"/>
      <c r="F18" s="234">
        <f ca="1">IF(AUTOEVENTO="Manual",ROUND(SUMPRODUCT((CÁLCULO!$M$15:$M$58=EVENTOS!$C18)*(OFFSET(CÁLCULO!$AI$15,0,1):OFFSET(CÁLCULO!$BB$58,0,-1))),2),0)</f>
        <v>0</v>
      </c>
    </row>
    <row r="19" spans="2:6" x14ac:dyDescent="0.2">
      <c r="B19" t="str">
        <f t="shared" ca="1" si="0"/>
        <v>5.</v>
      </c>
      <c r="C19" s="233">
        <f t="shared" ca="1" si="1"/>
        <v>5</v>
      </c>
      <c r="D19" s="721"/>
      <c r="E19" s="721"/>
      <c r="F19" s="234">
        <f ca="1">IF(AUTOEVENTO="Manual",ROUND(SUMPRODUCT((CÁLCULO!$M$15:$M$58=EVENTOS!$C19)*(OFFSET(CÁLCULO!$AI$15,0,1):OFFSET(CÁLCULO!$BB$58,0,-1))),2),0)</f>
        <v>0</v>
      </c>
    </row>
    <row r="20" spans="2:6" x14ac:dyDescent="0.2">
      <c r="B20" t="str">
        <f t="shared" ca="1" si="0"/>
        <v>6.</v>
      </c>
      <c r="C20" s="233">
        <f t="shared" ca="1" si="1"/>
        <v>6</v>
      </c>
      <c r="D20" s="721"/>
      <c r="E20" s="721"/>
      <c r="F20" s="234">
        <f ca="1">IF(AUTOEVENTO="Manual",ROUND(SUMPRODUCT((CÁLCULO!$M$15:$M$58=EVENTOS!$C20)*(OFFSET(CÁLCULO!$AI$15,0,1):OFFSET(CÁLCULO!$BB$58,0,-1))),2),0)</f>
        <v>0</v>
      </c>
    </row>
    <row r="21" spans="2:6" x14ac:dyDescent="0.2">
      <c r="B21" t="str">
        <f t="shared" ca="1" si="0"/>
        <v>7.</v>
      </c>
      <c r="C21" s="233">
        <f t="shared" ca="1" si="1"/>
        <v>7</v>
      </c>
      <c r="D21" s="721"/>
      <c r="E21" s="721"/>
      <c r="F21" s="234">
        <f ca="1">IF(AUTOEVENTO="Manual",ROUND(SUMPRODUCT((CÁLCULO!$M$15:$M$58=EVENTOS!$C21)*(OFFSET(CÁLCULO!$AI$15,0,1):OFFSET(CÁLCULO!$BB$58,0,-1))),2),0)</f>
        <v>0</v>
      </c>
    </row>
    <row r="22" spans="2:6" x14ac:dyDescent="0.2">
      <c r="B22" t="str">
        <f t="shared" ca="1" si="0"/>
        <v>8.</v>
      </c>
      <c r="C22" s="233">
        <f t="shared" ca="1" si="1"/>
        <v>8</v>
      </c>
      <c r="D22" s="721"/>
      <c r="E22" s="721"/>
      <c r="F22" s="234">
        <f ca="1">IF(AUTOEVENTO="Manual",ROUND(SUMPRODUCT((CÁLCULO!$M$15:$M$58=EVENTOS!$C22)*(OFFSET(CÁLCULO!$AI$15,0,1):OFFSET(CÁLCULO!$BB$58,0,-1))),2),0)</f>
        <v>0</v>
      </c>
    </row>
    <row r="23" spans="2:6" x14ac:dyDescent="0.2">
      <c r="B23" t="str">
        <f ca="1">CONCATENATE(C23,".",D23)</f>
        <v>9.</v>
      </c>
      <c r="C23" s="233">
        <f ca="1">OFFSET(C23,-1,0)+1</f>
        <v>9</v>
      </c>
      <c r="D23" s="721"/>
      <c r="E23" s="721"/>
      <c r="F23" s="234">
        <f ca="1">IF(AUTOEVENTO="Manual",ROUND(SUMPRODUCT((CÁLCULO!$M$15:$M$58=EVENTOS!$C23)*(OFFSET(CÁLCULO!$AI$15,0,1):OFFSET(CÁLCULO!$BB$58,0,-1))),2),0)</f>
        <v>0</v>
      </c>
    </row>
    <row r="24" spans="2:6" ht="5.0999999999999996" customHeight="1" x14ac:dyDescent="0.2">
      <c r="C24" s="226"/>
      <c r="D24" s="237"/>
      <c r="E24" s="237"/>
      <c r="F24" s="238"/>
    </row>
  </sheetData>
  <sheetProtection password="BD1F" sheet="1" objects="1" scenarios="1"/>
  <mergeCells count="13">
    <mergeCell ref="D23:E23"/>
    <mergeCell ref="D21:E21"/>
    <mergeCell ref="D22:E22"/>
    <mergeCell ref="D20:E20"/>
    <mergeCell ref="C6:F6"/>
    <mergeCell ref="C9:F11"/>
    <mergeCell ref="D13:E13"/>
    <mergeCell ref="D14:E14"/>
    <mergeCell ref="D19:E19"/>
    <mergeCell ref="D15:E15"/>
    <mergeCell ref="D16:E16"/>
    <mergeCell ref="D17:E17"/>
    <mergeCell ref="D18:E18"/>
  </mergeCells>
  <phoneticPr fontId="38" type="noConversion"/>
  <conditionalFormatting sqref="C13:F15 C24:F24">
    <cfRule type="expression" dxfId="116" priority="113" stopIfTrue="1">
      <formula>OR(AUTOEVENTO&lt;&gt;"Manual",ACOMPANHAMENTO="BM")</formula>
    </cfRule>
  </conditionalFormatting>
  <conditionalFormatting sqref="C16:F22">
    <cfRule type="expression" dxfId="115" priority="7" stopIfTrue="1">
      <formula>OR(AUTOEVENTO&lt;&gt;"Manual",ACOMPANHAMENTO="BM")</formula>
    </cfRule>
  </conditionalFormatting>
  <conditionalFormatting sqref="C23:F23">
    <cfRule type="expression" dxfId="114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0" firstPageNumber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57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T14" sqref="T14"/>
    </sheetView>
  </sheetViews>
  <sheetFormatPr defaultColWidth="9.140625" defaultRowHeight="12.75" x14ac:dyDescent="0.2"/>
  <cols>
    <col min="1" max="3" width="9.140625" style="239" hidden="1" customWidth="1"/>
    <col min="4" max="4" width="11" style="240" hidden="1" customWidth="1"/>
    <col min="5" max="5" width="19" style="239" hidden="1" customWidth="1"/>
    <col min="6" max="6" width="3.7109375" style="240" customWidth="1"/>
    <col min="7" max="7" width="12.7109375" style="239" customWidth="1"/>
    <col min="8" max="8" width="7.140625" style="240" customWidth="1"/>
    <col min="9" max="9" width="14.5703125" style="240" customWidth="1"/>
    <col min="10" max="10" width="12" style="240" customWidth="1"/>
    <col min="11" max="11" width="11" style="240" customWidth="1"/>
    <col min="12" max="17" width="0" style="239" hidden="1" customWidth="1"/>
    <col min="18" max="18" width="11.42578125" style="241" customWidth="1"/>
    <col min="19" max="19" width="10.7109375" style="241" customWidth="1"/>
    <col min="20" max="31" width="11" style="240" customWidth="1"/>
    <col min="32" max="32" width="0.140625" style="240" customWidth="1"/>
    <col min="33" max="16384" width="9.140625" style="240"/>
  </cols>
  <sheetData>
    <row r="1" spans="1:32" hidden="1" x14ac:dyDescent="0.2">
      <c r="A1" s="239" t="e">
        <f ca="1">OFFSET(A1,-3,0)+1</f>
        <v>#REF!</v>
      </c>
      <c r="B1" s="239" t="e">
        <f ca="1">IF($Q1&lt;&gt;2,0,IF($R1=0,1,IF(E2&gt;0,OFFSET(QCI!$M$13,SUBSTITUTE(E2,".",""),0),OFFSET(ORÇAMENTO!$AA$15,CRONO!$E1,0))/$R1))</f>
        <v>#REF!</v>
      </c>
      <c r="C1" s="239" t="e">
        <f ca="1">IF($Q1&lt;&gt;2,0,IF($R1=0,1,IF(E2&gt;0,OFFSET(QCI!$N$13,SUBSTITUTE(E2,".",""),0),OFFSET(ORÇAMENTO!$AB$15,CRONO!$E1,0))/$R1))</f>
        <v>#REF!</v>
      </c>
      <c r="D1" s="242" t="e">
        <f ca="1">IF(AND($Q1=2,ACOMPANHAMENTO="BM"),D2,D3/$R1)</f>
        <v>#REF!</v>
      </c>
      <c r="E1" s="239" t="e">
        <f ca="1">IF(A1&lt;=ORÇAMENTO.MáximoListaCrono,MATCH(A1,ORÇAMENTO.ListaCrono,0),NA())</f>
        <v>#REF!</v>
      </c>
      <c r="F1" s="239" t="e">
        <f ca="1">IF(AND($E2&lt;&gt;-1,$R1&gt;0),"F","")</f>
        <v>#REF!</v>
      </c>
      <c r="G1" s="243" t="e">
        <f ca="1">IF(OR(R1=0,R1=""),"Linha",IF(AND(OR(ACOMPANHAMENTO="PLE",$Q1&lt;&gt;2),$E2=0),"Linha",1-SUM(T1:AF1)))</f>
        <v>#REF!</v>
      </c>
      <c r="H1" s="244" t="e">
        <f ca="1">IF($E2=0,OFFSET(ORÇAMENTO!O$15,$E1,0),IF($E2&lt;&gt;-1,OFFSET(QCI!$D$13,$E2,0),""))</f>
        <v>#REF!</v>
      </c>
      <c r="I1" s="245" t="e">
        <f ca="1">IF($E2=0,OFFSET(ORÇAMENTO!R$15,$E1,0),IF($E2&lt;&gt;-1,OFFSET(QCI!$G$13,$E2,0),""))</f>
        <v>#REF!</v>
      </c>
      <c r="J1" s="245"/>
      <c r="K1" s="245"/>
      <c r="L1" s="246" t="e">
        <f ca="1">IF($E2=0,OFFSET(ORÇAMENTO!C$15,$E1,0),1)</f>
        <v>#REF!</v>
      </c>
      <c r="M1" s="247" t="e">
        <f ca="1">IF($E2=-1,0,IF(M$13&lt;=$L1,IF(ISERROR(MATCH(M$13,OFFSET($L1,1,0,ROW($L$41)-ROW($L1)-1),0)),ROW($L$41)-ROW($L1)-1,MATCH(M$13,OFFSET($L1,1,0,ROW($L$41)-ROW($L1)-1),0)-1),0))</f>
        <v>#REF!</v>
      </c>
      <c r="N1" s="247" t="e">
        <f ca="1">IF($E2=-1,0,IF(N$13&lt;=$L1,IF(ISERROR(MATCH(N$13,OFFSET($L1,1,0,ROW($L$41)-ROW($L1)-1),0)),ROW($L$41)-ROW($L1)-1,MATCH(N$13,OFFSET($L1,1,0,ROW($L$41)-ROW($L1)-1),0)-1),0))</f>
        <v>#REF!</v>
      </c>
      <c r="O1" s="247" t="e">
        <f ca="1">IF($E2=-1,0,IF(O$13&lt;=$L1,IF(ISERROR(MATCH(O$13,OFFSET($L1,1,0,ROW($L$41)-ROW($L1)-1),0)),ROW($L$41)-ROW($L1)-1,MATCH(O$13,OFFSET($L1,1,0,ROW($L$41)-ROW($L1)-1),0)-1),0))</f>
        <v>#REF!</v>
      </c>
      <c r="P1" s="247" t="e">
        <f ca="1">IF($E2=-1,0,IF(P$13&lt;=$L1,IF(ISERROR(MATCH(P$13,OFFSET($L1,1,0,ROW($L$41)-ROW($L1)-1),0)),ROW($L$41)-ROW($L1)-1,MATCH(P$13,OFFSET($L1,1,0,ROW($L$41)-ROW($L1)-1),0)-1),0))</f>
        <v>#REF!</v>
      </c>
      <c r="Q1" s="247" t="e">
        <f ca="1">MIN(OFFSET(L1,0,1,,L1))</f>
        <v>#REF!</v>
      </c>
      <c r="R1" s="248" t="e">
        <f ca="1">IF($E2=0,OFFSET(ORÇAMENTO!X$15,$E1,0),IF($E2&lt;&gt;-1,OFFSET(QCI!$O$13,$E2,0),""))</f>
        <v>#REF!</v>
      </c>
      <c r="S1" s="249" t="s">
        <v>270</v>
      </c>
      <c r="T1" s="250" t="e">
        <f t="shared" ref="T1:AE1" ca="1" si="0">IF(AND($Q1=2,ACOMPANHAMENTO="BM"),T2,T3/$R1)</f>
        <v>#REF!</v>
      </c>
      <c r="U1" s="242" t="e">
        <f t="shared" ca="1" si="0"/>
        <v>#REF!</v>
      </c>
      <c r="V1" s="242" t="e">
        <f t="shared" ca="1" si="0"/>
        <v>#REF!</v>
      </c>
      <c r="W1" s="242" t="e">
        <f t="shared" ca="1" si="0"/>
        <v>#REF!</v>
      </c>
      <c r="X1" s="242" t="e">
        <f t="shared" ca="1" si="0"/>
        <v>#REF!</v>
      </c>
      <c r="Y1" s="242" t="e">
        <f t="shared" ca="1" si="0"/>
        <v>#REF!</v>
      </c>
      <c r="Z1" s="242" t="e">
        <f t="shared" ca="1" si="0"/>
        <v>#REF!</v>
      </c>
      <c r="AA1" s="242" t="e">
        <f t="shared" ca="1" si="0"/>
        <v>#REF!</v>
      </c>
      <c r="AB1" s="242" t="e">
        <f t="shared" ca="1" si="0"/>
        <v>#REF!</v>
      </c>
      <c r="AC1" s="242" t="e">
        <f t="shared" ca="1" si="0"/>
        <v>#REF!</v>
      </c>
      <c r="AD1" s="242" t="e">
        <f t="shared" ca="1" si="0"/>
        <v>#REF!</v>
      </c>
      <c r="AE1" s="251" t="e">
        <f t="shared" ca="1" si="0"/>
        <v>#REF!</v>
      </c>
    </row>
    <row r="2" spans="1:32" ht="12.75" hidden="1" customHeight="1" x14ac:dyDescent="0.2">
      <c r="D2" s="657"/>
      <c r="E2" s="239" t="e">
        <f ca="1">IF(ISERROR(E1),IF(1+COUNTIF($L$13:OFFSET(L1,-1,0),1)&lt;=MAX(QCI!$D$13:$D$15),1+COUNTIF($L$13:OFFSET(L1,-1,0),1),-1),0)</f>
        <v>#REF!</v>
      </c>
      <c r="F2" s="239" t="e">
        <f ca="1">IF(AND($E2&lt;&gt;-1,$R1&gt;0),"F","")</f>
        <v>#REF!</v>
      </c>
      <c r="G2" s="252" t="e">
        <f ca="1">IF(OR(R1=0,R1=""),"vazia",IF(AND(OR(ACOMPANHAMENTO="PLE",$Q1&lt;&gt;2),$E2=0),"calculada","--&gt;"))</f>
        <v>#REF!</v>
      </c>
      <c r="H2" s="253"/>
      <c r="I2" s="254" t="e">
        <f ca="1">IF(AND(G1&lt;&gt;0,ISNUMBER(G1)),"PREENCHA ESTA LINHA --&gt;","")</f>
        <v>#REF!</v>
      </c>
      <c r="J2" s="254"/>
      <c r="K2" s="254"/>
      <c r="L2" s="255"/>
      <c r="M2" s="255"/>
      <c r="N2" s="255"/>
      <c r="O2" s="255"/>
      <c r="P2" s="255"/>
      <c r="Q2" s="255"/>
      <c r="R2" s="256"/>
      <c r="S2" s="257"/>
      <c r="T2" s="658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9"/>
      <c r="AF2" s="618"/>
    </row>
    <row r="3" spans="1:32" ht="0.2" hidden="1" customHeight="1" x14ac:dyDescent="0.2">
      <c r="D3" s="258" t="e">
        <f ca="1">IF($Q1=2,IF(AND(ACOMPANHAMENTO="PLE",ISNUMBER($E1)),SUMIF((OFFSET(CÁLCULO!$BC$15:$BU$15,$E1,0,OFFSET(ORÇAMENTO!$D$15,CRONO!$E1,0))),"="&amp;CRONO!D$12,OFFSET(CÁLCULO!$AJ$15:$BB$15,$E1,0,OFFSET(ORÇAMENTO!$D$15,CRONO!$E1,0)))+IF(AND($E3&lt;&gt;"",$E3&lt;&gt;0),SUMIF(CÁLCULO!$BC$15:$BU$58,"="&amp;CRONO!D$12,CÁLCULO!$AJ$15:$BB$58)/(ORÇAMENTO!$X$15-CÁLCULO.TotalAdmLocal)*CRONO!$E3,0),D2*$R1),SUMIF(OFFSET($R3,1,0,$Q1-2),($L1+1)&amp;"$",OFFSET(D3,1,0,$Q1-2)))</f>
        <v>#REF!</v>
      </c>
      <c r="E3" s="239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59"/>
      <c r="R3" s="260" t="e">
        <f ca="1">L1&amp;"$"</f>
        <v>#REF!</v>
      </c>
      <c r="S3" s="261"/>
      <c r="T3" s="262" t="e">
        <f ca="1">IF($Q1=2,IF(AND(ACOMPANHAMENTO="PLE",ISNUMBER($E1)),SUMIF((OFFSET(CÁLCULO!$BC$15:$BU$15,$E1,0,OFFSET(ORÇAMENTO!$D$15,CRONO!$E1,0))),"&lt;="&amp;CRONO!T$12,OFFSET(CÁLCULO!$AJ$15:$BB$15,$E1,0,OFFSET(ORÇAMENTO!$D$15,CRONO!$E1,0)))+IF(AND($E3&lt;&gt;"",$E3&lt;&gt;0),SUMIF(CÁLCULO!$BC$15:$BU$58,"&lt;="&amp;CRONO!T$12,CÁLCULO!$AJ$15:$BB$58)/(ORÇAMENTO!$X$15-CÁLCULO.TotalAdmLocal)*CRONO!$E3,0),T2*$R1),SUMIF(OFFSET($R3,1,0,$Q1-2),($L1+1)&amp;"$",OFFSET(T3,1,0,$Q1-2)))</f>
        <v>#REF!</v>
      </c>
      <c r="U3" s="258" t="e">
        <f ca="1">IF($Q1=2,IF(AND(ACOMPANHAMENTO="PLE",ISNUMBER($E1)),SUMIF((OFFSET(CÁLCULO!$BC$15:$BU$15,$E1,0,OFFSET(ORÇAMENTO!$D$15,CRONO!$E1,0))),"="&amp;CRONO!U$12,OFFSET(CÁLCULO!$AJ$15:$BB$15,$E1,0,OFFSET(ORÇAMENTO!$D$15,CRONO!$E1,0)))+IF(AND($E3&lt;&gt;"",$E3&lt;&gt;0),SUMIF(CÁLCULO!$BC$15:$BU$58,"="&amp;CRONO!U$12,CÁLCULO!$AJ$15:$BB$58)/(ORÇAMENTO!$X$15-CÁLCULO.TotalAdmLocal)*CRONO!$E3,0),U2*$R1),SUMIF(OFFSET($R3,1,0,$Q1-2),($L1+1)&amp;"$",OFFSET(U3,1,0,$Q1-2)))</f>
        <v>#REF!</v>
      </c>
      <c r="V3" s="258" t="e">
        <f ca="1">IF($Q1=2,IF(AND(ACOMPANHAMENTO="PLE",ISNUMBER($E1)),SUMIF((OFFSET(CÁLCULO!$BC$15:$BU$15,$E1,0,OFFSET(ORÇAMENTO!$D$15,CRONO!$E1,0))),"="&amp;CRONO!V$12,OFFSET(CÁLCULO!$AJ$15:$BB$15,$E1,0,OFFSET(ORÇAMENTO!$D$15,CRONO!$E1,0)))+IF(AND($E3&lt;&gt;"",$E3&lt;&gt;0),SUMIF(CÁLCULO!$BC$15:$BU$58,"="&amp;CRONO!V$12,CÁLCULO!$AJ$15:$BB$58)/(ORÇAMENTO!$X$15-CÁLCULO.TotalAdmLocal)*CRONO!$E3,0),V2*$R1),SUMIF(OFFSET($R3,1,0,$Q1-2),($L1+1)&amp;"$",OFFSET(V3,1,0,$Q1-2)))</f>
        <v>#REF!</v>
      </c>
      <c r="W3" s="258" t="e">
        <f ca="1">IF($Q1=2,IF(AND(ACOMPANHAMENTO="PLE",ISNUMBER($E1)),SUMIF((OFFSET(CÁLCULO!$BC$15:$BU$15,$E1,0,OFFSET(ORÇAMENTO!$D$15,CRONO!$E1,0))),"="&amp;CRONO!W$12,OFFSET(CÁLCULO!$AJ$15:$BB$15,$E1,0,OFFSET(ORÇAMENTO!$D$15,CRONO!$E1,0)))+IF(AND($E3&lt;&gt;"",$E3&lt;&gt;0),SUMIF(CÁLCULO!$BC$15:$BU$58,"="&amp;CRONO!W$12,CÁLCULO!$AJ$15:$BB$58)/(ORÇAMENTO!$X$15-CÁLCULO.TotalAdmLocal)*CRONO!$E3,0),W2*$R1),SUMIF(OFFSET($R3,1,0,$Q1-2),($L1+1)&amp;"$",OFFSET(W3,1,0,$Q1-2)))</f>
        <v>#REF!</v>
      </c>
      <c r="X3" s="258" t="e">
        <f ca="1">IF($Q1=2,IF(AND(ACOMPANHAMENTO="PLE",ISNUMBER($E1)),SUMIF((OFFSET(CÁLCULO!$BC$15:$BU$15,$E1,0,OFFSET(ORÇAMENTO!$D$15,CRONO!$E1,0))),"="&amp;CRONO!X$12,OFFSET(CÁLCULO!$AJ$15:$BB$15,$E1,0,OFFSET(ORÇAMENTO!$D$15,CRONO!$E1,0)))+IF(AND($E3&lt;&gt;"",$E3&lt;&gt;0),SUMIF(CÁLCULO!$BC$15:$BU$58,"="&amp;CRONO!X$12,CÁLCULO!$AJ$15:$BB$58)/(ORÇAMENTO!$X$15-CÁLCULO.TotalAdmLocal)*CRONO!$E3,0),X2*$R1),SUMIF(OFFSET($R3,1,0,$Q1-2),($L1+1)&amp;"$",OFFSET(X3,1,0,$Q1-2)))</f>
        <v>#REF!</v>
      </c>
      <c r="Y3" s="258" t="e">
        <f ca="1">IF($Q1=2,IF(AND(ACOMPANHAMENTO="PLE",ISNUMBER($E1)),SUMIF((OFFSET(CÁLCULO!$BC$15:$BU$15,$E1,0,OFFSET(ORÇAMENTO!$D$15,CRONO!$E1,0))),"="&amp;CRONO!Y$12,OFFSET(CÁLCULO!$AJ$15:$BB$15,$E1,0,OFFSET(ORÇAMENTO!$D$15,CRONO!$E1,0)))+IF(AND($E3&lt;&gt;"",$E3&lt;&gt;0),SUMIF(CÁLCULO!$BC$15:$BU$58,"="&amp;CRONO!Y$12,CÁLCULO!$AJ$15:$BB$58)/(ORÇAMENTO!$X$15-CÁLCULO.TotalAdmLocal)*CRONO!$E3,0),Y2*$R1),SUMIF(OFFSET($R3,1,0,$Q1-2),($L1+1)&amp;"$",OFFSET(Y3,1,0,$Q1-2)))</f>
        <v>#REF!</v>
      </c>
      <c r="Z3" s="258" t="e">
        <f ca="1">IF($Q1=2,IF(AND(ACOMPANHAMENTO="PLE",ISNUMBER($E1)),SUMIF((OFFSET(CÁLCULO!$BC$15:$BU$15,$E1,0,OFFSET(ORÇAMENTO!$D$15,CRONO!$E1,0))),"="&amp;CRONO!Z$12,OFFSET(CÁLCULO!$AJ$15:$BB$15,$E1,0,OFFSET(ORÇAMENTO!$D$15,CRONO!$E1,0)))+IF(AND($E3&lt;&gt;"",$E3&lt;&gt;0),SUMIF(CÁLCULO!$BC$15:$BU$58,"="&amp;CRONO!Z$12,CÁLCULO!$AJ$15:$BB$58)/(ORÇAMENTO!$X$15-CÁLCULO.TotalAdmLocal)*CRONO!$E3,0),Z2*$R1),SUMIF(OFFSET($R3,1,0,$Q1-2),($L1+1)&amp;"$",OFFSET(Z3,1,0,$Q1-2)))</f>
        <v>#REF!</v>
      </c>
      <c r="AA3" s="258" t="e">
        <f ca="1">IF($Q1=2,IF(AND(ACOMPANHAMENTO="PLE",ISNUMBER($E1)),SUMIF((OFFSET(CÁLCULO!$BC$15:$BU$15,$E1,0,OFFSET(ORÇAMENTO!$D$15,CRONO!$E1,0))),"="&amp;CRONO!AA$12,OFFSET(CÁLCULO!$AJ$15:$BB$15,$E1,0,OFFSET(ORÇAMENTO!$D$15,CRONO!$E1,0)))+IF(AND($E3&lt;&gt;"",$E3&lt;&gt;0),SUMIF(CÁLCULO!$BC$15:$BU$58,"="&amp;CRONO!AA$12,CÁLCULO!$AJ$15:$BB$58)/(ORÇAMENTO!$X$15-CÁLCULO.TotalAdmLocal)*CRONO!$E3,0),AA2*$R1),SUMIF(OFFSET($R3,1,0,$Q1-2),($L1+1)&amp;"$",OFFSET(AA3,1,0,$Q1-2)))</f>
        <v>#REF!</v>
      </c>
      <c r="AB3" s="258" t="e">
        <f ca="1">IF($Q1=2,IF(AND(ACOMPANHAMENTO="PLE",ISNUMBER($E1)),SUMIF((OFFSET(CÁLCULO!$BC$15:$BU$15,$E1,0,OFFSET(ORÇAMENTO!$D$15,CRONO!$E1,0))),"="&amp;CRONO!AB$12,OFFSET(CÁLCULO!$AJ$15:$BB$15,$E1,0,OFFSET(ORÇAMENTO!$D$15,CRONO!$E1,0)))+IF(AND($E3&lt;&gt;"",$E3&lt;&gt;0),SUMIF(CÁLCULO!$BC$15:$BU$58,"="&amp;CRONO!AB$12,CÁLCULO!$AJ$15:$BB$58)/(ORÇAMENTO!$X$15-CÁLCULO.TotalAdmLocal)*CRONO!$E3,0),AB2*$R1),SUMIF(OFFSET($R3,1,0,$Q1-2),($L1+1)&amp;"$",OFFSET(AB3,1,0,$Q1-2)))</f>
        <v>#REF!</v>
      </c>
      <c r="AC3" s="258" t="e">
        <f ca="1">IF($Q1=2,IF(AND(ACOMPANHAMENTO="PLE",ISNUMBER($E1)),SUMIF((OFFSET(CÁLCULO!$BC$15:$BU$15,$E1,0,OFFSET(ORÇAMENTO!$D$15,CRONO!$E1,0))),"="&amp;CRONO!AC$12,OFFSET(CÁLCULO!$AJ$15:$BB$15,$E1,0,OFFSET(ORÇAMENTO!$D$15,CRONO!$E1,0)))+IF(AND($E3&lt;&gt;"",$E3&lt;&gt;0),SUMIF(CÁLCULO!$BC$15:$BU$58,"="&amp;CRONO!AC$12,CÁLCULO!$AJ$15:$BB$58)/(ORÇAMENTO!$X$15-CÁLCULO.TotalAdmLocal)*CRONO!$E3,0),AC2*$R1),SUMIF(OFFSET($R3,1,0,$Q1-2),($L1+1)&amp;"$",OFFSET(AC3,1,0,$Q1-2)))</f>
        <v>#REF!</v>
      </c>
      <c r="AD3" s="258" t="e">
        <f ca="1">IF($Q1=2,IF(AND(ACOMPANHAMENTO="PLE",ISNUMBER($E1)),SUMIF((OFFSET(CÁLCULO!$BC$15:$BU$15,$E1,0,OFFSET(ORÇAMENTO!$D$15,CRONO!$E1,0))),"="&amp;CRONO!AD$12,OFFSET(CÁLCULO!$AJ$15:$BB$15,$E1,0,OFFSET(ORÇAMENTO!$D$15,CRONO!$E1,0)))+IF(AND($E3&lt;&gt;"",$E3&lt;&gt;0),SUMIF(CÁLCULO!$BC$15:$BU$58,"="&amp;CRONO!AD$12,CÁLCULO!$AJ$15:$BB$58)/(ORÇAMENTO!$X$15-CÁLCULO.TotalAdmLocal)*CRONO!$E3,0),AD2*$R1),SUMIF(OFFSET($R3,1,0,$Q1-2),($L1+1)&amp;"$",OFFSET(AD3,1,0,$Q1-2)))</f>
        <v>#REF!</v>
      </c>
      <c r="AE3" s="263" t="e">
        <f ca="1">IF($Q1=2,IF(AND(ACOMPANHAMENTO="PLE",ISNUMBER($E1)),SUMIF((OFFSET(CÁLCULO!$BC$15:$BU$15,$E1,0,OFFSET(ORÇAMENTO!$D$15,CRONO!$E1,0))),"="&amp;CRONO!AE$12,OFFSET(CÁLCULO!$AJ$15:$BB$15,$E1,0,OFFSET(ORÇAMENTO!$D$15,CRONO!$E1,0)))+IF(AND($E3&lt;&gt;"",$E3&lt;&gt;0),SUMIF(CÁLCULO!$BC$15:$BU$58,"="&amp;CRONO!AE$12,CÁLCULO!$AJ$15:$BB$58)/(ORÇAMENTO!$X$15-CÁLCULO.TotalAdmLocal)*CRONO!$E3,0),AE2*$R1),SUMIF(OFFSET($R3,1,0,$Q1-2),($L1+1)&amp;"$",OFFSET(AE3,1,0,$Q1-2)))</f>
        <v>#REF!</v>
      </c>
    </row>
    <row r="4" spans="1:32" ht="15" customHeight="1" x14ac:dyDescent="0.25">
      <c r="R4" s="264" t="str">
        <f>IF(TIPOORCAMENTO="licitado","CRONOGRAMA FÍSICO-FINANCEIRO LICITADO","CRONOGRAMA FÍSICO-FINANCEIRO")</f>
        <v>CRONOGRAMA FÍSICO-FINANCEIRO</v>
      </c>
      <c r="AD4" s="698" t="s">
        <v>140</v>
      </c>
      <c r="AE4" s="698"/>
    </row>
    <row r="5" spans="1:32" ht="15" x14ac:dyDescent="0.2">
      <c r="R5" s="107" t="str">
        <f>import.recurso</f>
        <v>OGU</v>
      </c>
      <c r="AD5" s="699" t="s">
        <v>143</v>
      </c>
      <c r="AE5" s="699"/>
    </row>
    <row r="6" spans="1:32" ht="12.75" customHeight="1" x14ac:dyDescent="0.2">
      <c r="D6" s="265"/>
      <c r="H6" s="265"/>
      <c r="I6" s="265"/>
      <c r="J6" s="265"/>
      <c r="K6" s="265"/>
      <c r="L6" s="266"/>
      <c r="M6" s="266"/>
      <c r="N6" s="266"/>
      <c r="O6" s="266"/>
      <c r="P6" s="266"/>
      <c r="Q6" s="266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</row>
    <row r="7" spans="1:32" ht="12.75" customHeight="1" x14ac:dyDescent="0.2">
      <c r="D7" s="265"/>
      <c r="E7" s="267"/>
      <c r="G7" s="733" t="s">
        <v>271</v>
      </c>
      <c r="H7" s="268" t="s">
        <v>146</v>
      </c>
      <c r="I7" s="269"/>
      <c r="J7" s="270" t="s">
        <v>447</v>
      </c>
      <c r="K7" s="271" t="s">
        <v>272</v>
      </c>
      <c r="L7" s="265"/>
      <c r="M7" s="265"/>
      <c r="N7" s="265"/>
      <c r="O7" s="266"/>
      <c r="P7" s="266"/>
      <c r="Q7" s="266"/>
      <c r="S7" s="272"/>
      <c r="T7" s="268" t="s">
        <v>273</v>
      </c>
      <c r="U7" s="265"/>
      <c r="V7" s="265"/>
      <c r="W7" s="265"/>
      <c r="X7" s="269"/>
      <c r="Y7" s="268" t="str">
        <f>IF(TIPOORCAMENTO="Licitado","NOME DA EMPRESA","DESCRIÇÃO DO LOTE")</f>
        <v>DESCRIÇÃO DO LOTE</v>
      </c>
      <c r="Z7" s="265"/>
      <c r="AA7" s="265"/>
      <c r="AB7" s="265"/>
      <c r="AC7" s="265"/>
      <c r="AD7" s="265"/>
      <c r="AE7" s="273" t="str">
        <f>IF(TIPOORCAMENTO="Licitado","Nº CTEF","")</f>
        <v/>
      </c>
    </row>
    <row r="8" spans="1:32" x14ac:dyDescent="0.2">
      <c r="D8" s="239"/>
      <c r="E8" s="144"/>
      <c r="F8" s="687" t="s">
        <v>209</v>
      </c>
      <c r="G8" s="733"/>
      <c r="H8" s="731" t="str">
        <f>Import.CR</f>
        <v>01090614-71</v>
      </c>
      <c r="I8" s="731"/>
      <c r="J8" s="274" t="str">
        <f>Import.TransfereGOV</f>
        <v>951453</v>
      </c>
      <c r="K8" s="730" t="str">
        <f>Import.Proponente</f>
        <v>PREFEITURA MUNICIPAL DE SÃO FRANCISCO-MG</v>
      </c>
      <c r="L8" s="730"/>
      <c r="M8" s="730"/>
      <c r="N8" s="730"/>
      <c r="O8" s="730"/>
      <c r="P8" s="730"/>
      <c r="Q8" s="730"/>
      <c r="R8" s="730"/>
      <c r="S8" s="730"/>
      <c r="T8" s="731" t="str">
        <f>Import.Apelido</f>
        <v xml:space="preserve">PAVIMENTAÇÃO ASFALTICA EM CBUQ DE DIVERSAS VIAS DO BAIRRO FUNCIONÁRIOS NO  MUNICIPIO DE SÃO FRANCISCO-MG </v>
      </c>
      <c r="U8" s="731"/>
      <c r="V8" s="731"/>
      <c r="W8" s="731"/>
      <c r="X8" s="731"/>
      <c r="Y8" s="727" t="str">
        <f>IF(TIPOORCAMENTO="Licitado",Import.empresa,Import.DescLote)</f>
        <v xml:space="preserve">PAVIMENTAÇÃO ASFALTICA EM CBUQ DE DIVERSAS VIAS DO BAIRRO FUNCIONÁRIOS NO  MUNICIPIO DE SÃO FRANCISCO-MG  </v>
      </c>
      <c r="Z8" s="727"/>
      <c r="AA8" s="727"/>
      <c r="AB8" s="727"/>
      <c r="AC8" s="727"/>
      <c r="AD8" s="727"/>
      <c r="AE8" s="275" t="str">
        <f>IF(TIPOORCAMENTO="Licitado",Import.CTEF,"")</f>
        <v/>
      </c>
    </row>
    <row r="9" spans="1:32" x14ac:dyDescent="0.2">
      <c r="E9" s="144"/>
      <c r="F9" s="687"/>
      <c r="G9" s="733"/>
    </row>
    <row r="10" spans="1:32" x14ac:dyDescent="0.2">
      <c r="E10" s="267"/>
      <c r="F10" s="687"/>
      <c r="G10" s="276">
        <v>2</v>
      </c>
      <c r="J10" s="732" t="str">
        <f ca="1">IF(MAX($A$13:$A$41)&lt;CRONO.LinhasNecessarias,"ERRO: NÚMERO DE LINHAS DO CRONOGRAMA INSUFICIENTE. CLIQUE EM ATUALIZAR LINHAS.",IF(AND(ACOMPANHAMENTO="PLE",ROUND(OFFSET($AF$51,0,-1),2)=0),"CRONOGRAMA DEVE SER PREENCHIDO POR EVENTOS",IF(ROUND(OFFSET($AF$51,0,-1),2)&lt;&gt;$Q$42,"ERRO: CRONOGRAMA NÃO FECHA 100%","")))</f>
        <v>CRONOGRAMA DEVE SER PREENCHIDO POR EVENTOS</v>
      </c>
      <c r="K10" s="732"/>
      <c r="L10" s="732"/>
      <c r="M10" s="732"/>
      <c r="N10" s="732"/>
      <c r="O10" s="732"/>
      <c r="P10" s="732"/>
      <c r="Q10" s="732"/>
      <c r="R10" s="732"/>
      <c r="S10" s="732"/>
    </row>
    <row r="11" spans="1:32" ht="12.75" customHeight="1" x14ac:dyDescent="0.2">
      <c r="F11" s="687"/>
      <c r="H11" s="277"/>
      <c r="I11" s="277"/>
      <c r="J11" s="732"/>
      <c r="K11" s="732"/>
      <c r="L11" s="732"/>
      <c r="M11" s="732"/>
      <c r="N11" s="732"/>
      <c r="O11" s="732"/>
      <c r="P11" s="732"/>
      <c r="Q11" s="732"/>
      <c r="R11" s="732"/>
      <c r="S11" s="732"/>
    </row>
    <row r="12" spans="1:32" ht="12.75" customHeight="1" x14ac:dyDescent="0.2">
      <c r="D12" s="278">
        <f ca="1">OFFSET(D12,0,-1)+1</f>
        <v>1</v>
      </c>
      <c r="F12" s="136" t="s">
        <v>217</v>
      </c>
      <c r="G12" s="735" t="s">
        <v>274</v>
      </c>
      <c r="H12" s="736" t="s">
        <v>231</v>
      </c>
      <c r="I12" s="737" t="s">
        <v>234</v>
      </c>
      <c r="J12" s="279"/>
      <c r="K12" s="279"/>
      <c r="L12" s="280"/>
      <c r="M12" s="280"/>
      <c r="N12" s="280"/>
      <c r="O12" s="280"/>
      <c r="P12" s="280"/>
      <c r="Q12" s="280"/>
      <c r="R12" s="728" t="s">
        <v>275</v>
      </c>
      <c r="S12" s="729" t="s">
        <v>276</v>
      </c>
      <c r="T12" s="281">
        <v>1</v>
      </c>
      <c r="U12" s="278">
        <f ca="1">OFFSET(U12,0,-1)+1</f>
        <v>2</v>
      </c>
      <c r="V12" s="278">
        <f t="shared" ref="V12:AE12" ca="1" si="1">OFFSET(V12,0,-1)+1</f>
        <v>3</v>
      </c>
      <c r="W12" s="278">
        <f t="shared" ca="1" si="1"/>
        <v>4</v>
      </c>
      <c r="X12" s="278">
        <f t="shared" ca="1" si="1"/>
        <v>5</v>
      </c>
      <c r="Y12" s="278">
        <f t="shared" ca="1" si="1"/>
        <v>6</v>
      </c>
      <c r="Z12" s="278">
        <f t="shared" ca="1" si="1"/>
        <v>7</v>
      </c>
      <c r="AA12" s="278">
        <f t="shared" ca="1" si="1"/>
        <v>8</v>
      </c>
      <c r="AB12" s="278">
        <f t="shared" ca="1" si="1"/>
        <v>9</v>
      </c>
      <c r="AC12" s="278">
        <f t="shared" ca="1" si="1"/>
        <v>10</v>
      </c>
      <c r="AD12" s="278">
        <f t="shared" ca="1" si="1"/>
        <v>11</v>
      </c>
      <c r="AE12" s="282">
        <f t="shared" ca="1" si="1"/>
        <v>12</v>
      </c>
    </row>
    <row r="13" spans="1:32" ht="24.95" customHeight="1" x14ac:dyDescent="0.2">
      <c r="A13" s="283" t="s">
        <v>277</v>
      </c>
      <c r="B13" s="283" t="s">
        <v>169</v>
      </c>
      <c r="C13" s="283" t="s">
        <v>278</v>
      </c>
      <c r="D13" s="284" t="e">
        <f ca="1">OFFSET(D13,0,-1)+41-DAY(OFFSET(D13,0,-1)+40)</f>
        <v>#VALUE!</v>
      </c>
      <c r="E13" s="283" t="s">
        <v>279</v>
      </c>
      <c r="G13" s="735"/>
      <c r="H13" s="736"/>
      <c r="I13" s="737"/>
      <c r="J13" s="285"/>
      <c r="K13" s="285"/>
      <c r="L13" s="286" t="s">
        <v>229</v>
      </c>
      <c r="M13" s="286">
        <v>1</v>
      </c>
      <c r="N13" s="286">
        <v>2</v>
      </c>
      <c r="O13" s="286">
        <v>3</v>
      </c>
      <c r="P13" s="286">
        <v>4</v>
      </c>
      <c r="Q13" s="287" t="s">
        <v>280</v>
      </c>
      <c r="R13" s="728"/>
      <c r="S13" s="729"/>
      <c r="T13" s="288">
        <v>45505</v>
      </c>
      <c r="U13" s="284">
        <f ca="1">OFFSET(U13,0,-1)+41-DAY(OFFSET(U13,0,-1)+40)</f>
        <v>45536</v>
      </c>
      <c r="V13" s="284">
        <f ca="1">OFFSET(V13,0,-1)+41-DAY(OFFSET(V13,0,-1)+40)</f>
        <v>45566</v>
      </c>
      <c r="W13" s="284">
        <f t="shared" ref="W13:AE13" ca="1" si="2">OFFSET(W13,0,-1)+41-DAY(OFFSET(W13,0,-1)+40)</f>
        <v>45597</v>
      </c>
      <c r="X13" s="284">
        <f t="shared" ca="1" si="2"/>
        <v>45627</v>
      </c>
      <c r="Y13" s="284">
        <f t="shared" ca="1" si="2"/>
        <v>45658</v>
      </c>
      <c r="Z13" s="284">
        <f t="shared" ca="1" si="2"/>
        <v>45689</v>
      </c>
      <c r="AA13" s="284">
        <f t="shared" ca="1" si="2"/>
        <v>45717</v>
      </c>
      <c r="AB13" s="284">
        <f t="shared" ca="1" si="2"/>
        <v>45748</v>
      </c>
      <c r="AC13" s="284">
        <f t="shared" ca="1" si="2"/>
        <v>45778</v>
      </c>
      <c r="AD13" s="284">
        <f t="shared" ca="1" si="2"/>
        <v>45809</v>
      </c>
      <c r="AE13" s="289">
        <f t="shared" ca="1" si="2"/>
        <v>45839</v>
      </c>
    </row>
    <row r="14" spans="1:32" x14ac:dyDescent="0.2">
      <c r="A14" s="239">
        <f t="shared" ref="A14" ca="1" si="3">OFFSET(A14,-3,0)+1</f>
        <v>1</v>
      </c>
      <c r="B14" s="239">
        <f ca="1">IF($Q14&lt;&gt;2,0,IF($R14=0,1,IF(E15&gt;0,OFFSET(QCI!$M$13,SUBSTITUTE(E15,".",""),0),OFFSET(ORÇAMENTO!$AA$15,CRONO!$E14,0))/$R14))</f>
        <v>0</v>
      </c>
      <c r="C14" s="239">
        <f ca="1">IF($Q14&lt;&gt;2,0,IF($R14=0,1,IF(E15&gt;0,OFFSET(QCI!$N$13,SUBSTITUTE(E15,".",""),0),OFFSET(ORÇAMENTO!$AB$15,CRONO!$E14,0))/$R14))</f>
        <v>0</v>
      </c>
      <c r="D14" s="242" t="e">
        <f ca="1">IF(AND($Q14=2,ACOMPANHAMENTO="BM"),D15,D16/$R14)</f>
        <v>#DIV/0!</v>
      </c>
      <c r="E14" s="239">
        <f ca="1">IF(A14&lt;=ORÇAMENTO.MáximoListaCrono,MATCH(A14,ORÇAMENTO.ListaCrono,0),NA())</f>
        <v>1</v>
      </c>
      <c r="F14" s="239" t="str">
        <f t="shared" ref="F14" ca="1" si="4">IF(AND($E15&lt;&gt;-1,$R14&gt;0),"F","")</f>
        <v/>
      </c>
      <c r="G14" s="243" t="str">
        <f ca="1">IF(OR(R14=0,R14=""),"Linha",IF(AND(OR(ACOMPANHAMENTO="PLE",$Q14&lt;&gt;2),$E15=0),"Linha",1-SUM(T14:AF14)))</f>
        <v>Linha</v>
      </c>
      <c r="H14" s="244" t="str">
        <f ca="1">IF($E15=0,OFFSET(ORÇAMENTO!O$15,$E14,0),IF($E15&lt;&gt;-1,OFFSET(QCI!$D$13,$E15,0),""))</f>
        <v>1.</v>
      </c>
      <c r="I14" s="245" t="str">
        <f ca="1">IF($E15=0,OFFSET(ORÇAMENTO!R$15,$E14,0),IF($E15&lt;&gt;-1,OFFSET(QCI!$G$13,$E15,0),""))</f>
        <v xml:space="preserve">PAVIMENTAÇÃO  EM CBUQ DE DIVERSAS VIAS DO MUNICIPIO DE SÃO FRANCISCO-MG </v>
      </c>
      <c r="J14" s="245"/>
      <c r="K14" s="245"/>
      <c r="L14" s="246">
        <f ca="1">IF($E15=0,OFFSET(ORÇAMENTO!C$15,$E14,0),1)</f>
        <v>1</v>
      </c>
      <c r="M14" s="247">
        <f ca="1">IF($E15=-1,0,IF(M$13&lt;=$L14,IF(ISERROR(MATCH(M$13,OFFSET($L14,1,0,ROW($L$41)-ROW($L14)-1),0)),ROW($L$41)-ROW($L14)-1,MATCH(M$13,OFFSET($L14,1,0,ROW($L$41)-ROW($L14)-1),0)-1),0))</f>
        <v>26</v>
      </c>
      <c r="N14" s="247">
        <f ca="1">IF($E15=-1,0,IF(N$13&lt;=$L14,IF(ISERROR(MATCH(N$13,OFFSET($L14,1,0,ROW($L$41)-ROW($L14)-1),0)),ROW($L$41)-ROW($L14)-1,MATCH(N$13,OFFSET($L14,1,0,ROW($L$41)-ROW($L14)-1),0)-1),0))</f>
        <v>0</v>
      </c>
      <c r="O14" s="247">
        <f ca="1">IF($E15=-1,0,IF(O$13&lt;=$L14,IF(ISERROR(MATCH(O$13,OFFSET($L14,1,0,ROW($L$41)-ROW($L14)-1),0)),ROW($L$41)-ROW($L14)-1,MATCH(O$13,OFFSET($L14,1,0,ROW($L$41)-ROW($L14)-1),0)-1),0))</f>
        <v>0</v>
      </c>
      <c r="P14" s="247">
        <f ca="1">IF($E15=-1,0,IF(P$13&lt;=$L14,IF(ISERROR(MATCH(P$13,OFFSET($L14,1,0,ROW($L$41)-ROW($L14)-1),0)),ROW($L$41)-ROW($L14)-1,MATCH(P$13,OFFSET($L14,1,0,ROW($L$41)-ROW($L14)-1),0)-1),0))</f>
        <v>0</v>
      </c>
      <c r="Q14" s="247">
        <f t="shared" ref="Q14" ca="1" si="5">MIN(OFFSET(L14,0,1,,L14))</f>
        <v>26</v>
      </c>
      <c r="R14" s="248">
        <f ca="1">IF($E15=0,OFFSET(ORÇAMENTO!X$15,$E14,0),IF($E15&lt;&gt;-1,OFFSET(QCI!$O$13,$E15,0),""))</f>
        <v>0</v>
      </c>
      <c r="S14" s="249" t="s">
        <v>270</v>
      </c>
      <c r="T14" s="250" t="e">
        <f t="shared" ref="T14:AE14" ca="1" si="6">IF(AND($Q14=2,ACOMPANHAMENTO="BM"),T15,T16/$R14)</f>
        <v>#DIV/0!</v>
      </c>
      <c r="U14" s="242" t="e">
        <f t="shared" ca="1" si="6"/>
        <v>#DIV/0!</v>
      </c>
      <c r="V14" s="242" t="e">
        <f t="shared" ca="1" si="6"/>
        <v>#DIV/0!</v>
      </c>
      <c r="W14" s="242" t="e">
        <f t="shared" ca="1" si="6"/>
        <v>#DIV/0!</v>
      </c>
      <c r="X14" s="242" t="e">
        <f t="shared" ca="1" si="6"/>
        <v>#DIV/0!</v>
      </c>
      <c r="Y14" s="242" t="e">
        <f t="shared" ca="1" si="6"/>
        <v>#DIV/0!</v>
      </c>
      <c r="Z14" s="242" t="e">
        <f t="shared" ca="1" si="6"/>
        <v>#DIV/0!</v>
      </c>
      <c r="AA14" s="242" t="e">
        <f t="shared" ca="1" si="6"/>
        <v>#DIV/0!</v>
      </c>
      <c r="AB14" s="242" t="e">
        <f t="shared" ca="1" si="6"/>
        <v>#DIV/0!</v>
      </c>
      <c r="AC14" s="242" t="e">
        <f t="shared" ca="1" si="6"/>
        <v>#DIV/0!</v>
      </c>
      <c r="AD14" s="242" t="e">
        <f t="shared" ca="1" si="6"/>
        <v>#DIV/0!</v>
      </c>
      <c r="AE14" s="251" t="e">
        <f t="shared" ca="1" si="6"/>
        <v>#DIV/0!</v>
      </c>
    </row>
    <row r="15" spans="1:32" ht="12.75" customHeight="1" x14ac:dyDescent="0.2">
      <c r="D15" s="657"/>
      <c r="E15" s="239">
        <f ca="1">IF(ISERROR(E14),IF(1+COUNTIF($L$13:OFFSET(L14,-1,0),1)&lt;=MAX(QCI!$D$13:$D$15),1+COUNTIF($L$13:OFFSET(L14,-1,0),1),-1),0)</f>
        <v>0</v>
      </c>
      <c r="F15" s="239" t="str">
        <f t="shared" ref="F15" ca="1" si="7">IF(AND($E15&lt;&gt;-1,$R14&gt;0),"F","")</f>
        <v/>
      </c>
      <c r="G15" s="252" t="str">
        <f ca="1">IF(OR(R14=0,R14=""),"vazia",IF(AND(OR(ACOMPANHAMENTO="PLE",$Q14&lt;&gt;2),$E15=0),"calculada","--&gt;"))</f>
        <v>vazia</v>
      </c>
      <c r="H15" s="253"/>
      <c r="I15" s="254" t="str">
        <f t="shared" ref="I15" ca="1" si="8">IF(AND(G14&lt;&gt;0,ISNUMBER(G14)),"PREENCHA ESTA LINHA --&gt;","")</f>
        <v/>
      </c>
      <c r="J15" s="254"/>
      <c r="K15" s="254"/>
      <c r="L15" s="255"/>
      <c r="M15" s="255"/>
      <c r="N15" s="255"/>
      <c r="O15" s="255"/>
      <c r="P15" s="255"/>
      <c r="Q15" s="255"/>
      <c r="R15" s="256"/>
      <c r="S15" s="257"/>
      <c r="T15" s="658"/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9"/>
      <c r="AF15" s="618"/>
    </row>
    <row r="16" spans="1:32" ht="0.2" hidden="1" customHeight="1" x14ac:dyDescent="0.2">
      <c r="D16" s="258">
        <f ca="1">IF($Q14=2,IF(AND(ACOMPANHAMENTO="PLE",ISNUMBER($E14)),SUMIF((OFFSET(CÁLCULO!$BC$15:$BU$15,$E14,0,OFFSET(ORÇAMENTO!$D$15,CRONO!$E14,0))),"="&amp;CRONO!D$12,OFFSET(CÁLCULO!$AJ$15:$BB$15,$E14,0,OFFSET(ORÇAMENTO!$D$15,CRONO!$E14,0)))+IF(AND($E16&lt;&gt;"",$E16&lt;&gt;0),SUMIF(CÁLCULO!$BC$15:$BU$58,"="&amp;CRONO!D$12,CÁLCULO!$AJ$15:$BB$58)/(ORÇAMENTO!$X$15-CÁLCULO.TotalAdmLocal)*CRONO!$E16,0),D15*$R14),SUMIF(OFFSET($R16,1,0,$Q14-2),($L14+1)&amp;"$",OFFSET(D16,1,0,$Q14-2)))</f>
        <v>0</v>
      </c>
      <c r="E16" s="239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59"/>
      <c r="R16" s="260" t="str">
        <f t="shared" ref="R16" ca="1" si="9">L14&amp;"$"</f>
        <v>1$</v>
      </c>
      <c r="S16" s="261"/>
      <c r="T16" s="262">
        <f ca="1">IF($Q14=2,IF(AND(ACOMPANHAMENTO="PLE",ISNUMBER($E14)),SUMIF((OFFSET(CÁLCULO!$BC$15:$BU$15,$E14,0,OFFSET(ORÇAMENTO!$D$15,CRONO!$E14,0))),"&lt;="&amp;CRONO!T$12,OFFSET(CÁLCULO!$AJ$15:$BB$15,$E14,0,OFFSET(ORÇAMENTO!$D$15,CRONO!$E14,0)))+IF(AND($E16&lt;&gt;"",$E16&lt;&gt;0),SUMIF(CÁLCULO!$BC$15:$BU$58,"&lt;="&amp;CRONO!T$12,CÁLCULO!$AJ$15:$BB$58)/(ORÇAMENTO!$X$15-CÁLCULO.TotalAdmLocal)*CRONO!$E16,0),T15*$R14),SUMIF(OFFSET($R16,1,0,$Q14-2),($L14+1)&amp;"$",OFFSET(T16,1,0,$Q14-2)))</f>
        <v>0</v>
      </c>
      <c r="U16" s="258">
        <f ca="1">IF($Q14=2,IF(AND(ACOMPANHAMENTO="PLE",ISNUMBER($E14)),SUMIF((OFFSET(CÁLCULO!$BC$15:$BU$15,$E14,0,OFFSET(ORÇAMENTO!$D$15,CRONO!$E14,0))),"="&amp;CRONO!U$12,OFFSET(CÁLCULO!$AJ$15:$BB$15,$E14,0,OFFSET(ORÇAMENTO!$D$15,CRONO!$E14,0)))+IF(AND($E16&lt;&gt;"",$E16&lt;&gt;0),SUMIF(CÁLCULO!$BC$15:$BU$58,"="&amp;CRONO!U$12,CÁLCULO!$AJ$15:$BB$58)/(ORÇAMENTO!$X$15-CÁLCULO.TotalAdmLocal)*CRONO!$E16,0),U15*$R14),SUMIF(OFFSET($R16,1,0,$Q14-2),($L14+1)&amp;"$",OFFSET(U16,1,0,$Q14-2)))</f>
        <v>0</v>
      </c>
      <c r="V16" s="258">
        <f ca="1">IF($Q14=2,IF(AND(ACOMPANHAMENTO="PLE",ISNUMBER($E14)),SUMIF((OFFSET(CÁLCULO!$BC$15:$BU$15,$E14,0,OFFSET(ORÇAMENTO!$D$15,CRONO!$E14,0))),"="&amp;CRONO!V$12,OFFSET(CÁLCULO!$AJ$15:$BB$15,$E14,0,OFFSET(ORÇAMENTO!$D$15,CRONO!$E14,0)))+IF(AND($E16&lt;&gt;"",$E16&lt;&gt;0),SUMIF(CÁLCULO!$BC$15:$BU$58,"="&amp;CRONO!V$12,CÁLCULO!$AJ$15:$BB$58)/(ORÇAMENTO!$X$15-CÁLCULO.TotalAdmLocal)*CRONO!$E16,0),V15*$R14),SUMIF(OFFSET($R16,1,0,$Q14-2),($L14+1)&amp;"$",OFFSET(V16,1,0,$Q14-2)))</f>
        <v>0</v>
      </c>
      <c r="W16" s="258">
        <f ca="1">IF($Q14=2,IF(AND(ACOMPANHAMENTO="PLE",ISNUMBER($E14)),SUMIF((OFFSET(CÁLCULO!$BC$15:$BU$15,$E14,0,OFFSET(ORÇAMENTO!$D$15,CRONO!$E14,0))),"="&amp;CRONO!W$12,OFFSET(CÁLCULO!$AJ$15:$BB$15,$E14,0,OFFSET(ORÇAMENTO!$D$15,CRONO!$E14,0)))+IF(AND($E16&lt;&gt;"",$E16&lt;&gt;0),SUMIF(CÁLCULO!$BC$15:$BU$58,"="&amp;CRONO!W$12,CÁLCULO!$AJ$15:$BB$58)/(ORÇAMENTO!$X$15-CÁLCULO.TotalAdmLocal)*CRONO!$E16,0),W15*$R14),SUMIF(OFFSET($R16,1,0,$Q14-2),($L14+1)&amp;"$",OFFSET(W16,1,0,$Q14-2)))</f>
        <v>0</v>
      </c>
      <c r="X16" s="258">
        <f ca="1">IF($Q14=2,IF(AND(ACOMPANHAMENTO="PLE",ISNUMBER($E14)),SUMIF((OFFSET(CÁLCULO!$BC$15:$BU$15,$E14,0,OFFSET(ORÇAMENTO!$D$15,CRONO!$E14,0))),"="&amp;CRONO!X$12,OFFSET(CÁLCULO!$AJ$15:$BB$15,$E14,0,OFFSET(ORÇAMENTO!$D$15,CRONO!$E14,0)))+IF(AND($E16&lt;&gt;"",$E16&lt;&gt;0),SUMIF(CÁLCULO!$BC$15:$BU$58,"="&amp;CRONO!X$12,CÁLCULO!$AJ$15:$BB$58)/(ORÇAMENTO!$X$15-CÁLCULO.TotalAdmLocal)*CRONO!$E16,0),X15*$R14),SUMIF(OFFSET($R16,1,0,$Q14-2),($L14+1)&amp;"$",OFFSET(X16,1,0,$Q14-2)))</f>
        <v>0</v>
      </c>
      <c r="Y16" s="258">
        <f ca="1">IF($Q14=2,IF(AND(ACOMPANHAMENTO="PLE",ISNUMBER($E14)),SUMIF((OFFSET(CÁLCULO!$BC$15:$BU$15,$E14,0,OFFSET(ORÇAMENTO!$D$15,CRONO!$E14,0))),"="&amp;CRONO!Y$12,OFFSET(CÁLCULO!$AJ$15:$BB$15,$E14,0,OFFSET(ORÇAMENTO!$D$15,CRONO!$E14,0)))+IF(AND($E16&lt;&gt;"",$E16&lt;&gt;0),SUMIF(CÁLCULO!$BC$15:$BU$58,"="&amp;CRONO!Y$12,CÁLCULO!$AJ$15:$BB$58)/(ORÇAMENTO!$X$15-CÁLCULO.TotalAdmLocal)*CRONO!$E16,0),Y15*$R14),SUMIF(OFFSET($R16,1,0,$Q14-2),($L14+1)&amp;"$",OFFSET(Y16,1,0,$Q14-2)))</f>
        <v>0</v>
      </c>
      <c r="Z16" s="258">
        <f ca="1">IF($Q14=2,IF(AND(ACOMPANHAMENTO="PLE",ISNUMBER($E14)),SUMIF((OFFSET(CÁLCULO!$BC$15:$BU$15,$E14,0,OFFSET(ORÇAMENTO!$D$15,CRONO!$E14,0))),"="&amp;CRONO!Z$12,OFFSET(CÁLCULO!$AJ$15:$BB$15,$E14,0,OFFSET(ORÇAMENTO!$D$15,CRONO!$E14,0)))+IF(AND($E16&lt;&gt;"",$E16&lt;&gt;0),SUMIF(CÁLCULO!$BC$15:$BU$58,"="&amp;CRONO!Z$12,CÁLCULO!$AJ$15:$BB$58)/(ORÇAMENTO!$X$15-CÁLCULO.TotalAdmLocal)*CRONO!$E16,0),Z15*$R14),SUMIF(OFFSET($R16,1,0,$Q14-2),($L14+1)&amp;"$",OFFSET(Z16,1,0,$Q14-2)))</f>
        <v>0</v>
      </c>
      <c r="AA16" s="258">
        <f ca="1">IF($Q14=2,IF(AND(ACOMPANHAMENTO="PLE",ISNUMBER($E14)),SUMIF((OFFSET(CÁLCULO!$BC$15:$BU$15,$E14,0,OFFSET(ORÇAMENTO!$D$15,CRONO!$E14,0))),"="&amp;CRONO!AA$12,OFFSET(CÁLCULO!$AJ$15:$BB$15,$E14,0,OFFSET(ORÇAMENTO!$D$15,CRONO!$E14,0)))+IF(AND($E16&lt;&gt;"",$E16&lt;&gt;0),SUMIF(CÁLCULO!$BC$15:$BU$58,"="&amp;CRONO!AA$12,CÁLCULO!$AJ$15:$BB$58)/(ORÇAMENTO!$X$15-CÁLCULO.TotalAdmLocal)*CRONO!$E16,0),AA15*$R14),SUMIF(OFFSET($R16,1,0,$Q14-2),($L14+1)&amp;"$",OFFSET(AA16,1,0,$Q14-2)))</f>
        <v>0</v>
      </c>
      <c r="AB16" s="258">
        <f ca="1">IF($Q14=2,IF(AND(ACOMPANHAMENTO="PLE",ISNUMBER($E14)),SUMIF((OFFSET(CÁLCULO!$BC$15:$BU$15,$E14,0,OFFSET(ORÇAMENTO!$D$15,CRONO!$E14,0))),"="&amp;CRONO!AB$12,OFFSET(CÁLCULO!$AJ$15:$BB$15,$E14,0,OFFSET(ORÇAMENTO!$D$15,CRONO!$E14,0)))+IF(AND($E16&lt;&gt;"",$E16&lt;&gt;0),SUMIF(CÁLCULO!$BC$15:$BU$58,"="&amp;CRONO!AB$12,CÁLCULO!$AJ$15:$BB$58)/(ORÇAMENTO!$X$15-CÁLCULO.TotalAdmLocal)*CRONO!$E16,0),AB15*$R14),SUMIF(OFFSET($R16,1,0,$Q14-2),($L14+1)&amp;"$",OFFSET(AB16,1,0,$Q14-2)))</f>
        <v>0</v>
      </c>
      <c r="AC16" s="258">
        <f ca="1">IF($Q14=2,IF(AND(ACOMPANHAMENTO="PLE",ISNUMBER($E14)),SUMIF((OFFSET(CÁLCULO!$BC$15:$BU$15,$E14,0,OFFSET(ORÇAMENTO!$D$15,CRONO!$E14,0))),"="&amp;CRONO!AC$12,OFFSET(CÁLCULO!$AJ$15:$BB$15,$E14,0,OFFSET(ORÇAMENTO!$D$15,CRONO!$E14,0)))+IF(AND($E16&lt;&gt;"",$E16&lt;&gt;0),SUMIF(CÁLCULO!$BC$15:$BU$58,"="&amp;CRONO!AC$12,CÁLCULO!$AJ$15:$BB$58)/(ORÇAMENTO!$X$15-CÁLCULO.TotalAdmLocal)*CRONO!$E16,0),AC15*$R14),SUMIF(OFFSET($R16,1,0,$Q14-2),($L14+1)&amp;"$",OFFSET(AC16,1,0,$Q14-2)))</f>
        <v>0</v>
      </c>
      <c r="AD16" s="258">
        <f ca="1">IF($Q14=2,IF(AND(ACOMPANHAMENTO="PLE",ISNUMBER($E14)),SUMIF((OFFSET(CÁLCULO!$BC$15:$BU$15,$E14,0,OFFSET(ORÇAMENTO!$D$15,CRONO!$E14,0))),"="&amp;CRONO!AD$12,OFFSET(CÁLCULO!$AJ$15:$BB$15,$E14,0,OFFSET(ORÇAMENTO!$D$15,CRONO!$E14,0)))+IF(AND($E16&lt;&gt;"",$E16&lt;&gt;0),SUMIF(CÁLCULO!$BC$15:$BU$58,"="&amp;CRONO!AD$12,CÁLCULO!$AJ$15:$BB$58)/(ORÇAMENTO!$X$15-CÁLCULO.TotalAdmLocal)*CRONO!$E16,0),AD15*$R14),SUMIF(OFFSET($R16,1,0,$Q14-2),($L14+1)&amp;"$",OFFSET(AD16,1,0,$Q14-2)))</f>
        <v>0</v>
      </c>
      <c r="AE16" s="263">
        <f ca="1">IF($Q14=2,IF(AND(ACOMPANHAMENTO="PLE",ISNUMBER($E14)),SUMIF((OFFSET(CÁLCULO!$BC$15:$BU$15,$E14,0,OFFSET(ORÇAMENTO!$D$15,CRONO!$E14,0))),"="&amp;CRONO!AE$12,OFFSET(CÁLCULO!$AJ$15:$BB$15,$E14,0,OFFSET(ORÇAMENTO!$D$15,CRONO!$E14,0)))+IF(AND($E16&lt;&gt;"",$E16&lt;&gt;0),SUMIF(CÁLCULO!$BC$15:$BU$58,"="&amp;CRONO!AE$12,CÁLCULO!$AJ$15:$BB$58)/(ORÇAMENTO!$X$15-CÁLCULO.TotalAdmLocal)*CRONO!$E16,0),AE15*$R14),SUMIF(OFFSET($R16,1,0,$Q14-2),($L14+1)&amp;"$",OFFSET(AE16,1,0,$Q14-2)))</f>
        <v>0</v>
      </c>
    </row>
    <row r="17" spans="1:32" x14ac:dyDescent="0.2">
      <c r="A17" s="239">
        <f t="shared" ref="A17" ca="1" si="10">OFFSET(A17,-3,0)+1</f>
        <v>2</v>
      </c>
      <c r="B17" s="239">
        <f ca="1">IF($Q17&lt;&gt;2,0,IF($R17=0,1,IF(E18&gt;0,OFFSET(QCI!$M$13,SUBSTITUTE(E18,".",""),0),OFFSET(ORÇAMENTO!$AA$15,CRONO!$E17,0))/$R17))</f>
        <v>1</v>
      </c>
      <c r="C17" s="239">
        <f ca="1">IF($Q17&lt;&gt;2,0,IF($R17=0,1,IF(E18&gt;0,OFFSET(QCI!$N$13,SUBSTITUTE(E18,".",""),0),OFFSET(ORÇAMENTO!$AB$15,CRONO!$E17,0))/$R17))</f>
        <v>1</v>
      </c>
      <c r="D17" s="242" t="e">
        <f ca="1">IF(AND($Q17=2,ACOMPANHAMENTO="BM"),D18,D19/$R17)</f>
        <v>#DIV/0!</v>
      </c>
      <c r="E17" s="239">
        <f ca="1">IF(A17&lt;=ORÇAMENTO.MáximoListaCrono,MATCH(A17,ORÇAMENTO.ListaCrono,0),NA())</f>
        <v>2</v>
      </c>
      <c r="F17" s="239" t="str">
        <f t="shared" ref="F17" ca="1" si="11">IF(AND($E18&lt;&gt;-1,$R17&gt;0),"F","")</f>
        <v/>
      </c>
      <c r="G17" s="243" t="str">
        <f ca="1">IF(OR(R17=0,R17=""),"Linha",IF(AND(OR(ACOMPANHAMENTO="PLE",$Q17&lt;&gt;2),$E18=0),"Linha",1-SUM(T17:AF17)))</f>
        <v>Linha</v>
      </c>
      <c r="H17" s="244" t="str">
        <f ca="1">IF($E18=0,OFFSET(ORÇAMENTO!O$15,$E17,0),IF($E18&lt;&gt;-1,OFFSET(QCI!$D$13,$E18,0),""))</f>
        <v>1.1.</v>
      </c>
      <c r="I17" s="245" t="str">
        <f ca="1">IF($E18=0,OFFSET(ORÇAMENTO!R$15,$E17,0),IF($E18&lt;&gt;-1,OFFSET(QCI!$G$13,$E18,0),""))</f>
        <v>SERVIÇOS PRELIMINARES</v>
      </c>
      <c r="J17" s="245"/>
      <c r="K17" s="245"/>
      <c r="L17" s="246">
        <f ca="1">IF($E18=0,OFFSET(ORÇAMENTO!C$15,$E17,0),1)</f>
        <v>2</v>
      </c>
      <c r="M17" s="247">
        <f ca="1">IF($E18=-1,0,IF(M$13&lt;=$L17,IF(ISERROR(MATCH(M$13,OFFSET($L17,1,0,ROW($L$41)-ROW($L17)-1),0)),ROW($L$41)-ROW($L17)-1,MATCH(M$13,OFFSET($L17,1,0,ROW($L$41)-ROW($L17)-1),0)-1),0))</f>
        <v>23</v>
      </c>
      <c r="N17" s="247">
        <f ca="1">IF($E18=-1,0,IF(N$13&lt;=$L17,IF(ISERROR(MATCH(N$13,OFFSET($L17,1,0,ROW($L$41)-ROW($L17)-1),0)),ROW($L$41)-ROW($L17)-1,MATCH(N$13,OFFSET($L17,1,0,ROW($L$41)-ROW($L17)-1),0)-1),0))</f>
        <v>2</v>
      </c>
      <c r="O17" s="247">
        <f ca="1">IF($E18=-1,0,IF(O$13&lt;=$L17,IF(ISERROR(MATCH(O$13,OFFSET($L17,1,0,ROW($L$41)-ROW($L17)-1),0)),ROW($L$41)-ROW($L17)-1,MATCH(O$13,OFFSET($L17,1,0,ROW($L$41)-ROW($L17)-1),0)-1),0))</f>
        <v>0</v>
      </c>
      <c r="P17" s="247">
        <f ca="1">IF($E18=-1,0,IF(P$13&lt;=$L17,IF(ISERROR(MATCH(P$13,OFFSET($L17,1,0,ROW($L$41)-ROW($L17)-1),0)),ROW($L$41)-ROW($L17)-1,MATCH(P$13,OFFSET($L17,1,0,ROW($L$41)-ROW($L17)-1),0)-1),0))</f>
        <v>0</v>
      </c>
      <c r="Q17" s="247">
        <f t="shared" ref="Q17" ca="1" si="12">MIN(OFFSET(L17,0,1,,L17))</f>
        <v>2</v>
      </c>
      <c r="R17" s="248">
        <f ca="1">IF($E18=0,OFFSET(ORÇAMENTO!X$15,$E17,0),IF($E18&lt;&gt;-1,OFFSET(QCI!$O$13,$E18,0),""))</f>
        <v>0</v>
      </c>
      <c r="S17" s="249" t="s">
        <v>270</v>
      </c>
      <c r="T17" s="250" t="e">
        <f t="shared" ref="T17:AE17" ca="1" si="13">IF(AND($Q17=2,ACOMPANHAMENTO="BM"),T18,T19/$R17)</f>
        <v>#DIV/0!</v>
      </c>
      <c r="U17" s="242" t="e">
        <f t="shared" ca="1" si="13"/>
        <v>#DIV/0!</v>
      </c>
      <c r="V17" s="242" t="e">
        <f t="shared" ca="1" si="13"/>
        <v>#DIV/0!</v>
      </c>
      <c r="W17" s="242" t="e">
        <f t="shared" ca="1" si="13"/>
        <v>#DIV/0!</v>
      </c>
      <c r="X17" s="242" t="e">
        <f t="shared" ca="1" si="13"/>
        <v>#DIV/0!</v>
      </c>
      <c r="Y17" s="242" t="e">
        <f t="shared" ca="1" si="13"/>
        <v>#DIV/0!</v>
      </c>
      <c r="Z17" s="242" t="e">
        <f t="shared" ca="1" si="13"/>
        <v>#DIV/0!</v>
      </c>
      <c r="AA17" s="242" t="e">
        <f t="shared" ca="1" si="13"/>
        <v>#DIV/0!</v>
      </c>
      <c r="AB17" s="242" t="e">
        <f t="shared" ca="1" si="13"/>
        <v>#DIV/0!</v>
      </c>
      <c r="AC17" s="242" t="e">
        <f t="shared" ca="1" si="13"/>
        <v>#DIV/0!</v>
      </c>
      <c r="AD17" s="242" t="e">
        <f t="shared" ca="1" si="13"/>
        <v>#DIV/0!</v>
      </c>
      <c r="AE17" s="251" t="e">
        <f t="shared" ca="1" si="13"/>
        <v>#DIV/0!</v>
      </c>
    </row>
    <row r="18" spans="1:32" ht="12.75" customHeight="1" x14ac:dyDescent="0.2">
      <c r="D18" s="657"/>
      <c r="E18" s="239">
        <f ca="1">IF(ISERROR(E17),IF(1+COUNTIF($L$13:OFFSET(L17,-1,0),1)&lt;=MAX(QCI!$D$13:$D$15),1+COUNTIF($L$13:OFFSET(L17,-1,0),1),-1),0)</f>
        <v>0</v>
      </c>
      <c r="F18" s="239" t="str">
        <f t="shared" ref="F18" ca="1" si="14">IF(AND($E18&lt;&gt;-1,$R17&gt;0),"F","")</f>
        <v/>
      </c>
      <c r="G18" s="252" t="str">
        <f ca="1">IF(OR(R17=0,R17=""),"vazia",IF(AND(OR(ACOMPANHAMENTO="PLE",$Q17&lt;&gt;2),$E18=0),"calculada","--&gt;"))</f>
        <v>vazia</v>
      </c>
      <c r="H18" s="253"/>
      <c r="I18" s="254" t="str">
        <f t="shared" ref="I18" ca="1" si="15">IF(AND(G17&lt;&gt;0,ISNUMBER(G17)),"PREENCHA ESTA LINHA --&gt;","")</f>
        <v/>
      </c>
      <c r="J18" s="254"/>
      <c r="K18" s="254"/>
      <c r="L18" s="255"/>
      <c r="M18" s="255"/>
      <c r="N18" s="255"/>
      <c r="O18" s="255"/>
      <c r="P18" s="255"/>
      <c r="Q18" s="255"/>
      <c r="R18" s="256"/>
      <c r="S18" s="257"/>
      <c r="T18" s="658"/>
      <c r="U18" s="657"/>
      <c r="V18" s="657"/>
      <c r="W18" s="657"/>
      <c r="X18" s="657"/>
      <c r="Y18" s="657"/>
      <c r="Z18" s="657"/>
      <c r="AA18" s="657"/>
      <c r="AB18" s="657"/>
      <c r="AC18" s="657"/>
      <c r="AD18" s="657"/>
      <c r="AE18" s="659"/>
      <c r="AF18" s="618"/>
    </row>
    <row r="19" spans="1:32" ht="0.2" hidden="1" customHeight="1" x14ac:dyDescent="0.2">
      <c r="D19" s="258">
        <f ca="1">IF($Q17=2,IF(AND(ACOMPANHAMENTO="PLE",ISNUMBER($E17)),SUMIF((OFFSET(CÁLCULO!$BC$15:$BU$15,$E17,0,OFFSET(ORÇAMENTO!$D$15,CRONO!$E17,0))),"="&amp;CRONO!D$12,OFFSET(CÁLCULO!$AJ$15:$BB$15,$E17,0,OFFSET(ORÇAMENTO!$D$15,CRONO!$E17,0)))+IF(AND($E19&lt;&gt;"",$E19&lt;&gt;0),SUMIF(CÁLCULO!$BC$15:$BU$58,"="&amp;CRONO!D$12,CÁLCULO!$AJ$15:$BB$58)/(ORÇAMENTO!$X$15-CÁLCULO.TotalAdmLocal)*CRONO!$E19,0),D18*$R17),SUMIF(OFFSET($R19,1,0,$Q17-2),($L17+1)&amp;"$",OFFSET(D19,1,0,$Q17-2)))</f>
        <v>0</v>
      </c>
      <c r="E19" s="239" t="str">
        <f ca="1">IF(OR($Q17&lt;&gt;2,AUTOEVENTO&lt;&gt;"manual",$E18&gt;0),"",SUMIF(OFFSET(CÁLCULO!$M$15,CRONO!$E17,0,OFFSET(ORÇAMENTO!$D$15,CRONO!$E17,0)),1,OFFSET(ORÇAMENTO!$X$15,CRONO!$E17,0,OFFSET(ORÇAMENTO!$D$15,CRONO!$E17,0))))</f>
        <v/>
      </c>
      <c r="G19" s="259"/>
      <c r="R19" s="260" t="str">
        <f t="shared" ref="R19" ca="1" si="16">L17&amp;"$"</f>
        <v>2$</v>
      </c>
      <c r="S19" s="261"/>
      <c r="T19" s="262">
        <f ca="1">IF($Q17=2,IF(AND(ACOMPANHAMENTO="PLE",ISNUMBER($E17)),SUMIF((OFFSET(CÁLCULO!$BC$15:$BU$15,$E17,0,OFFSET(ORÇAMENTO!$D$15,CRONO!$E17,0))),"&lt;="&amp;CRONO!T$12,OFFSET(CÁLCULO!$AJ$15:$BB$15,$E17,0,OFFSET(ORÇAMENTO!$D$15,CRONO!$E17,0)))+IF(AND($E19&lt;&gt;"",$E19&lt;&gt;0),SUMIF(CÁLCULO!$BC$15:$BU$58,"&lt;="&amp;CRONO!T$12,CÁLCULO!$AJ$15:$BB$58)/(ORÇAMENTO!$X$15-CÁLCULO.TotalAdmLocal)*CRONO!$E19,0),T18*$R17),SUMIF(OFFSET($R19,1,0,$Q17-2),($L17+1)&amp;"$",OFFSET(T19,1,0,$Q17-2)))</f>
        <v>0</v>
      </c>
      <c r="U19" s="258">
        <f ca="1">IF($Q17=2,IF(AND(ACOMPANHAMENTO="PLE",ISNUMBER($E17)),SUMIF((OFFSET(CÁLCULO!$BC$15:$BU$15,$E17,0,OFFSET(ORÇAMENTO!$D$15,CRONO!$E17,0))),"="&amp;CRONO!U$12,OFFSET(CÁLCULO!$AJ$15:$BB$15,$E17,0,OFFSET(ORÇAMENTO!$D$15,CRONO!$E17,0)))+IF(AND($E19&lt;&gt;"",$E19&lt;&gt;0),SUMIF(CÁLCULO!$BC$15:$BU$58,"="&amp;CRONO!U$12,CÁLCULO!$AJ$15:$BB$58)/(ORÇAMENTO!$X$15-CÁLCULO.TotalAdmLocal)*CRONO!$E19,0),U18*$R17),SUMIF(OFFSET($R19,1,0,$Q17-2),($L17+1)&amp;"$",OFFSET(U19,1,0,$Q17-2)))</f>
        <v>0</v>
      </c>
      <c r="V19" s="258">
        <f ca="1">IF($Q17=2,IF(AND(ACOMPANHAMENTO="PLE",ISNUMBER($E17)),SUMIF((OFFSET(CÁLCULO!$BC$15:$BU$15,$E17,0,OFFSET(ORÇAMENTO!$D$15,CRONO!$E17,0))),"="&amp;CRONO!V$12,OFFSET(CÁLCULO!$AJ$15:$BB$15,$E17,0,OFFSET(ORÇAMENTO!$D$15,CRONO!$E17,0)))+IF(AND($E19&lt;&gt;"",$E19&lt;&gt;0),SUMIF(CÁLCULO!$BC$15:$BU$58,"="&amp;CRONO!V$12,CÁLCULO!$AJ$15:$BB$58)/(ORÇAMENTO!$X$15-CÁLCULO.TotalAdmLocal)*CRONO!$E19,0),V18*$R17),SUMIF(OFFSET($R19,1,0,$Q17-2),($L17+1)&amp;"$",OFFSET(V19,1,0,$Q17-2)))</f>
        <v>0</v>
      </c>
      <c r="W19" s="258">
        <f ca="1">IF($Q17=2,IF(AND(ACOMPANHAMENTO="PLE",ISNUMBER($E17)),SUMIF((OFFSET(CÁLCULO!$BC$15:$BU$15,$E17,0,OFFSET(ORÇAMENTO!$D$15,CRONO!$E17,0))),"="&amp;CRONO!W$12,OFFSET(CÁLCULO!$AJ$15:$BB$15,$E17,0,OFFSET(ORÇAMENTO!$D$15,CRONO!$E17,0)))+IF(AND($E19&lt;&gt;"",$E19&lt;&gt;0),SUMIF(CÁLCULO!$BC$15:$BU$58,"="&amp;CRONO!W$12,CÁLCULO!$AJ$15:$BB$58)/(ORÇAMENTO!$X$15-CÁLCULO.TotalAdmLocal)*CRONO!$E19,0),W18*$R17),SUMIF(OFFSET($R19,1,0,$Q17-2),($L17+1)&amp;"$",OFFSET(W19,1,0,$Q17-2)))</f>
        <v>0</v>
      </c>
      <c r="X19" s="258">
        <f ca="1">IF($Q17=2,IF(AND(ACOMPANHAMENTO="PLE",ISNUMBER($E17)),SUMIF((OFFSET(CÁLCULO!$BC$15:$BU$15,$E17,0,OFFSET(ORÇAMENTO!$D$15,CRONO!$E17,0))),"="&amp;CRONO!X$12,OFFSET(CÁLCULO!$AJ$15:$BB$15,$E17,0,OFFSET(ORÇAMENTO!$D$15,CRONO!$E17,0)))+IF(AND($E19&lt;&gt;"",$E19&lt;&gt;0),SUMIF(CÁLCULO!$BC$15:$BU$58,"="&amp;CRONO!X$12,CÁLCULO!$AJ$15:$BB$58)/(ORÇAMENTO!$X$15-CÁLCULO.TotalAdmLocal)*CRONO!$E19,0),X18*$R17),SUMIF(OFFSET($R19,1,0,$Q17-2),($L17+1)&amp;"$",OFFSET(X19,1,0,$Q17-2)))</f>
        <v>0</v>
      </c>
      <c r="Y19" s="258">
        <f ca="1">IF($Q17=2,IF(AND(ACOMPANHAMENTO="PLE",ISNUMBER($E17)),SUMIF((OFFSET(CÁLCULO!$BC$15:$BU$15,$E17,0,OFFSET(ORÇAMENTO!$D$15,CRONO!$E17,0))),"="&amp;CRONO!Y$12,OFFSET(CÁLCULO!$AJ$15:$BB$15,$E17,0,OFFSET(ORÇAMENTO!$D$15,CRONO!$E17,0)))+IF(AND($E19&lt;&gt;"",$E19&lt;&gt;0),SUMIF(CÁLCULO!$BC$15:$BU$58,"="&amp;CRONO!Y$12,CÁLCULO!$AJ$15:$BB$58)/(ORÇAMENTO!$X$15-CÁLCULO.TotalAdmLocal)*CRONO!$E19,0),Y18*$R17),SUMIF(OFFSET($R19,1,0,$Q17-2),($L17+1)&amp;"$",OFFSET(Y19,1,0,$Q17-2)))</f>
        <v>0</v>
      </c>
      <c r="Z19" s="258">
        <f ca="1">IF($Q17=2,IF(AND(ACOMPANHAMENTO="PLE",ISNUMBER($E17)),SUMIF((OFFSET(CÁLCULO!$BC$15:$BU$15,$E17,0,OFFSET(ORÇAMENTO!$D$15,CRONO!$E17,0))),"="&amp;CRONO!Z$12,OFFSET(CÁLCULO!$AJ$15:$BB$15,$E17,0,OFFSET(ORÇAMENTO!$D$15,CRONO!$E17,0)))+IF(AND($E19&lt;&gt;"",$E19&lt;&gt;0),SUMIF(CÁLCULO!$BC$15:$BU$58,"="&amp;CRONO!Z$12,CÁLCULO!$AJ$15:$BB$58)/(ORÇAMENTO!$X$15-CÁLCULO.TotalAdmLocal)*CRONO!$E19,0),Z18*$R17),SUMIF(OFFSET($R19,1,0,$Q17-2),($L17+1)&amp;"$",OFFSET(Z19,1,0,$Q17-2)))</f>
        <v>0</v>
      </c>
      <c r="AA19" s="258">
        <f ca="1">IF($Q17=2,IF(AND(ACOMPANHAMENTO="PLE",ISNUMBER($E17)),SUMIF((OFFSET(CÁLCULO!$BC$15:$BU$15,$E17,0,OFFSET(ORÇAMENTO!$D$15,CRONO!$E17,0))),"="&amp;CRONO!AA$12,OFFSET(CÁLCULO!$AJ$15:$BB$15,$E17,0,OFFSET(ORÇAMENTO!$D$15,CRONO!$E17,0)))+IF(AND($E19&lt;&gt;"",$E19&lt;&gt;0),SUMIF(CÁLCULO!$BC$15:$BU$58,"="&amp;CRONO!AA$12,CÁLCULO!$AJ$15:$BB$58)/(ORÇAMENTO!$X$15-CÁLCULO.TotalAdmLocal)*CRONO!$E19,0),AA18*$R17),SUMIF(OFFSET($R19,1,0,$Q17-2),($L17+1)&amp;"$",OFFSET(AA19,1,0,$Q17-2)))</f>
        <v>0</v>
      </c>
      <c r="AB19" s="258">
        <f ca="1">IF($Q17=2,IF(AND(ACOMPANHAMENTO="PLE",ISNUMBER($E17)),SUMIF((OFFSET(CÁLCULO!$BC$15:$BU$15,$E17,0,OFFSET(ORÇAMENTO!$D$15,CRONO!$E17,0))),"="&amp;CRONO!AB$12,OFFSET(CÁLCULO!$AJ$15:$BB$15,$E17,0,OFFSET(ORÇAMENTO!$D$15,CRONO!$E17,0)))+IF(AND($E19&lt;&gt;"",$E19&lt;&gt;0),SUMIF(CÁLCULO!$BC$15:$BU$58,"="&amp;CRONO!AB$12,CÁLCULO!$AJ$15:$BB$58)/(ORÇAMENTO!$X$15-CÁLCULO.TotalAdmLocal)*CRONO!$E19,0),AB18*$R17),SUMIF(OFFSET($R19,1,0,$Q17-2),($L17+1)&amp;"$",OFFSET(AB19,1,0,$Q17-2)))</f>
        <v>0</v>
      </c>
      <c r="AC19" s="258">
        <f ca="1">IF($Q17=2,IF(AND(ACOMPANHAMENTO="PLE",ISNUMBER($E17)),SUMIF((OFFSET(CÁLCULO!$BC$15:$BU$15,$E17,0,OFFSET(ORÇAMENTO!$D$15,CRONO!$E17,0))),"="&amp;CRONO!AC$12,OFFSET(CÁLCULO!$AJ$15:$BB$15,$E17,0,OFFSET(ORÇAMENTO!$D$15,CRONO!$E17,0)))+IF(AND($E19&lt;&gt;"",$E19&lt;&gt;0),SUMIF(CÁLCULO!$BC$15:$BU$58,"="&amp;CRONO!AC$12,CÁLCULO!$AJ$15:$BB$58)/(ORÇAMENTO!$X$15-CÁLCULO.TotalAdmLocal)*CRONO!$E19,0),AC18*$R17),SUMIF(OFFSET($R19,1,0,$Q17-2),($L17+1)&amp;"$",OFFSET(AC19,1,0,$Q17-2)))</f>
        <v>0</v>
      </c>
      <c r="AD19" s="258">
        <f ca="1">IF($Q17=2,IF(AND(ACOMPANHAMENTO="PLE",ISNUMBER($E17)),SUMIF((OFFSET(CÁLCULO!$BC$15:$BU$15,$E17,0,OFFSET(ORÇAMENTO!$D$15,CRONO!$E17,0))),"="&amp;CRONO!AD$12,OFFSET(CÁLCULO!$AJ$15:$BB$15,$E17,0,OFFSET(ORÇAMENTO!$D$15,CRONO!$E17,0)))+IF(AND($E19&lt;&gt;"",$E19&lt;&gt;0),SUMIF(CÁLCULO!$BC$15:$BU$58,"="&amp;CRONO!AD$12,CÁLCULO!$AJ$15:$BB$58)/(ORÇAMENTO!$X$15-CÁLCULO.TotalAdmLocal)*CRONO!$E19,0),AD18*$R17),SUMIF(OFFSET($R19,1,0,$Q17-2),($L17+1)&amp;"$",OFFSET(AD19,1,0,$Q17-2)))</f>
        <v>0</v>
      </c>
      <c r="AE19" s="263">
        <f ca="1">IF($Q17=2,IF(AND(ACOMPANHAMENTO="PLE",ISNUMBER($E17)),SUMIF((OFFSET(CÁLCULO!$BC$15:$BU$15,$E17,0,OFFSET(ORÇAMENTO!$D$15,CRONO!$E17,0))),"="&amp;CRONO!AE$12,OFFSET(CÁLCULO!$AJ$15:$BB$15,$E17,0,OFFSET(ORÇAMENTO!$D$15,CRONO!$E17,0)))+IF(AND($E19&lt;&gt;"",$E19&lt;&gt;0),SUMIF(CÁLCULO!$BC$15:$BU$58,"="&amp;CRONO!AE$12,CÁLCULO!$AJ$15:$BB$58)/(ORÇAMENTO!$X$15-CÁLCULO.TotalAdmLocal)*CRONO!$E19,0),AE18*$R17),SUMIF(OFFSET($R19,1,0,$Q17-2),($L17+1)&amp;"$",OFFSET(AE19,1,0,$Q17-2)))</f>
        <v>0</v>
      </c>
    </row>
    <row r="20" spans="1:32" x14ac:dyDescent="0.2">
      <c r="A20" s="239">
        <f t="shared" ref="A20" ca="1" si="17">OFFSET(A20,-3,0)+1</f>
        <v>3</v>
      </c>
      <c r="B20" s="239">
        <f ca="1">IF($Q20&lt;&gt;2,0,IF($R20=0,1,IF(E21&gt;0,OFFSET(QCI!$M$13,SUBSTITUTE(E21,".",""),0),OFFSET(ORÇAMENTO!$AA$15,CRONO!$E20,0))/$R20))</f>
        <v>1</v>
      </c>
      <c r="C20" s="239">
        <f ca="1">IF($Q20&lt;&gt;2,0,IF($R20=0,1,IF(E21&gt;0,OFFSET(QCI!$N$13,SUBSTITUTE(E21,".",""),0),OFFSET(ORÇAMENTO!$AB$15,CRONO!$E20,0))/$R20))</f>
        <v>1</v>
      </c>
      <c r="D20" s="242" t="e">
        <f ca="1">IF(AND($Q20=2,ACOMPANHAMENTO="BM"),D21,D22/$R20)</f>
        <v>#DIV/0!</v>
      </c>
      <c r="E20" s="239">
        <f ca="1">IF(A20&lt;=ORÇAMENTO.MáximoListaCrono,MATCH(A20,ORÇAMENTO.ListaCrono,0),NA())</f>
        <v>5</v>
      </c>
      <c r="F20" s="239" t="str">
        <f t="shared" ref="F20" ca="1" si="18">IF(AND($E21&lt;&gt;-1,$R20&gt;0),"F","")</f>
        <v/>
      </c>
      <c r="G20" s="243" t="str">
        <f ca="1">IF(OR(R20=0,R20=""),"Linha",IF(AND(OR(ACOMPANHAMENTO="PLE",$Q20&lt;&gt;2),$E21=0),"Linha",1-SUM(T20:AF20)))</f>
        <v>Linha</v>
      </c>
      <c r="H20" s="244" t="str">
        <f ca="1">IF($E21=0,OFFSET(ORÇAMENTO!O$15,$E20,0),IF($E21&lt;&gt;-1,OFFSET(QCI!$D$13,$E21,0),""))</f>
        <v>1.2.</v>
      </c>
      <c r="I20" s="245" t="str">
        <f ca="1">IF($E21=0,OFFSET(ORÇAMENTO!R$15,$E20,0),IF($E21&lt;&gt;-1,OFFSET(QCI!$G$13,$E21,0),""))</f>
        <v xml:space="preserve">TERRAPLANAGEM </v>
      </c>
      <c r="J20" s="245"/>
      <c r="K20" s="245"/>
      <c r="L20" s="246">
        <f ca="1">IF($E21=0,OFFSET(ORÇAMENTO!C$15,$E20,0),1)</f>
        <v>2</v>
      </c>
      <c r="M20" s="247">
        <f ca="1">IF($E21=-1,0,IF(M$13&lt;=$L20,IF(ISERROR(MATCH(M$13,OFFSET($L20,1,0,ROW($L$41)-ROW($L20)-1),0)),ROW($L$41)-ROW($L20)-1,MATCH(M$13,OFFSET($L20,1,0,ROW($L$41)-ROW($L20)-1),0)-1),0))</f>
        <v>20</v>
      </c>
      <c r="N20" s="247">
        <f ca="1">IF($E21=-1,0,IF(N$13&lt;=$L20,IF(ISERROR(MATCH(N$13,OFFSET($L20,1,0,ROW($L$41)-ROW($L20)-1),0)),ROW($L$41)-ROW($L20)-1,MATCH(N$13,OFFSET($L20,1,0,ROW($L$41)-ROW($L20)-1),0)-1),0))</f>
        <v>2</v>
      </c>
      <c r="O20" s="247">
        <f ca="1">IF($E21=-1,0,IF(O$13&lt;=$L20,IF(ISERROR(MATCH(O$13,OFFSET($L20,1,0,ROW($L$41)-ROW($L20)-1),0)),ROW($L$41)-ROW($L20)-1,MATCH(O$13,OFFSET($L20,1,0,ROW($L$41)-ROW($L20)-1),0)-1),0))</f>
        <v>0</v>
      </c>
      <c r="P20" s="247">
        <f ca="1">IF($E21=-1,0,IF(P$13&lt;=$L20,IF(ISERROR(MATCH(P$13,OFFSET($L20,1,0,ROW($L$41)-ROW($L20)-1),0)),ROW($L$41)-ROW($L20)-1,MATCH(P$13,OFFSET($L20,1,0,ROW($L$41)-ROW($L20)-1),0)-1),0))</f>
        <v>0</v>
      </c>
      <c r="Q20" s="247">
        <f t="shared" ref="Q20" ca="1" si="19">MIN(OFFSET(L20,0,1,,L20))</f>
        <v>2</v>
      </c>
      <c r="R20" s="248">
        <f ca="1">IF($E21=0,OFFSET(ORÇAMENTO!X$15,$E20,0),IF($E21&lt;&gt;-1,OFFSET(QCI!$O$13,$E21,0),""))</f>
        <v>0</v>
      </c>
      <c r="S20" s="249" t="s">
        <v>270</v>
      </c>
      <c r="T20" s="250" t="e">
        <f t="shared" ref="T20:AE20" ca="1" si="20">IF(AND($Q20=2,ACOMPANHAMENTO="BM"),T21,T22/$R20)</f>
        <v>#DIV/0!</v>
      </c>
      <c r="U20" s="242" t="e">
        <f t="shared" ca="1" si="20"/>
        <v>#DIV/0!</v>
      </c>
      <c r="V20" s="242" t="e">
        <f t="shared" ca="1" si="20"/>
        <v>#DIV/0!</v>
      </c>
      <c r="W20" s="242" t="e">
        <f t="shared" ca="1" si="20"/>
        <v>#DIV/0!</v>
      </c>
      <c r="X20" s="242" t="e">
        <f t="shared" ca="1" si="20"/>
        <v>#DIV/0!</v>
      </c>
      <c r="Y20" s="242" t="e">
        <f t="shared" ca="1" si="20"/>
        <v>#DIV/0!</v>
      </c>
      <c r="Z20" s="242" t="e">
        <f t="shared" ca="1" si="20"/>
        <v>#DIV/0!</v>
      </c>
      <c r="AA20" s="242" t="e">
        <f t="shared" ca="1" si="20"/>
        <v>#DIV/0!</v>
      </c>
      <c r="AB20" s="242" t="e">
        <f t="shared" ca="1" si="20"/>
        <v>#DIV/0!</v>
      </c>
      <c r="AC20" s="242" t="e">
        <f t="shared" ca="1" si="20"/>
        <v>#DIV/0!</v>
      </c>
      <c r="AD20" s="242" t="e">
        <f t="shared" ca="1" si="20"/>
        <v>#DIV/0!</v>
      </c>
      <c r="AE20" s="251" t="e">
        <f t="shared" ca="1" si="20"/>
        <v>#DIV/0!</v>
      </c>
    </row>
    <row r="21" spans="1:32" ht="12.75" customHeight="1" x14ac:dyDescent="0.2">
      <c r="D21" s="657"/>
      <c r="E21" s="239">
        <f ca="1">IF(ISERROR(E20),IF(1+COUNTIF($L$13:OFFSET(L20,-1,0),1)&lt;=MAX(QCI!$D$13:$D$15),1+COUNTIF($L$13:OFFSET(L20,-1,0),1),-1),0)</f>
        <v>0</v>
      </c>
      <c r="F21" s="239" t="str">
        <f t="shared" ref="F21" ca="1" si="21">IF(AND($E21&lt;&gt;-1,$R20&gt;0),"F","")</f>
        <v/>
      </c>
      <c r="G21" s="252" t="str">
        <f ca="1">IF(OR(R20=0,R20=""),"vazia",IF(AND(OR(ACOMPANHAMENTO="PLE",$Q20&lt;&gt;2),$E21=0),"calculada","--&gt;"))</f>
        <v>vazia</v>
      </c>
      <c r="H21" s="253"/>
      <c r="I21" s="254" t="str">
        <f t="shared" ref="I21" ca="1" si="22">IF(AND(G20&lt;&gt;0,ISNUMBER(G20)),"PREENCHA ESTA LINHA --&gt;","")</f>
        <v/>
      </c>
      <c r="J21" s="254"/>
      <c r="K21" s="254"/>
      <c r="L21" s="255"/>
      <c r="M21" s="255"/>
      <c r="N21" s="255"/>
      <c r="O21" s="255"/>
      <c r="P21" s="255"/>
      <c r="Q21" s="255"/>
      <c r="R21" s="256"/>
      <c r="S21" s="257"/>
      <c r="T21" s="658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9"/>
      <c r="AF21" s="618"/>
    </row>
    <row r="22" spans="1:32" ht="0.2" hidden="1" customHeight="1" x14ac:dyDescent="0.2">
      <c r="D22" s="258">
        <f ca="1">IF($Q20=2,IF(AND(ACOMPANHAMENTO="PLE",ISNUMBER($E20)),SUMIF((OFFSET(CÁLCULO!$BC$15:$BU$15,$E20,0,OFFSET(ORÇAMENTO!$D$15,CRONO!$E20,0))),"="&amp;CRONO!D$12,OFFSET(CÁLCULO!$AJ$15:$BB$15,$E20,0,OFFSET(ORÇAMENTO!$D$15,CRONO!$E20,0)))+IF(AND($E22&lt;&gt;"",$E22&lt;&gt;0),SUMIF(CÁLCULO!$BC$15:$BU$58,"="&amp;CRONO!D$12,CÁLCULO!$AJ$15:$BB$58)/(ORÇAMENTO!$X$15-CÁLCULO.TotalAdmLocal)*CRONO!$E22,0),D21*$R20),SUMIF(OFFSET($R22,1,0,$Q20-2),($L20+1)&amp;"$",OFFSET(D22,1,0,$Q20-2)))</f>
        <v>0</v>
      </c>
      <c r="E22" s="239" t="str">
        <f ca="1">IF(OR($Q20&lt;&gt;2,AUTOEVENTO&lt;&gt;"manual",$E21&gt;0),"",SUMIF(OFFSET(CÁLCULO!$M$15,CRONO!$E20,0,OFFSET(ORÇAMENTO!$D$15,CRONO!$E20,0)),1,OFFSET(ORÇAMENTO!$X$15,CRONO!$E20,0,OFFSET(ORÇAMENTO!$D$15,CRONO!$E20,0))))</f>
        <v/>
      </c>
      <c r="G22" s="259"/>
      <c r="R22" s="260" t="str">
        <f t="shared" ref="R22" ca="1" si="23">L20&amp;"$"</f>
        <v>2$</v>
      </c>
      <c r="S22" s="261"/>
      <c r="T22" s="262">
        <f ca="1">IF($Q20=2,IF(AND(ACOMPANHAMENTO="PLE",ISNUMBER($E20)),SUMIF((OFFSET(CÁLCULO!$BC$15:$BU$15,$E20,0,OFFSET(ORÇAMENTO!$D$15,CRONO!$E20,0))),"&lt;="&amp;CRONO!T$12,OFFSET(CÁLCULO!$AJ$15:$BB$15,$E20,0,OFFSET(ORÇAMENTO!$D$15,CRONO!$E20,0)))+IF(AND($E22&lt;&gt;"",$E22&lt;&gt;0),SUMIF(CÁLCULO!$BC$15:$BU$58,"&lt;="&amp;CRONO!T$12,CÁLCULO!$AJ$15:$BB$58)/(ORÇAMENTO!$X$15-CÁLCULO.TotalAdmLocal)*CRONO!$E22,0),T21*$R20),SUMIF(OFFSET($R22,1,0,$Q20-2),($L20+1)&amp;"$",OFFSET(T22,1,0,$Q20-2)))</f>
        <v>0</v>
      </c>
      <c r="U22" s="258">
        <f ca="1">IF($Q20=2,IF(AND(ACOMPANHAMENTO="PLE",ISNUMBER($E20)),SUMIF((OFFSET(CÁLCULO!$BC$15:$BU$15,$E20,0,OFFSET(ORÇAMENTO!$D$15,CRONO!$E20,0))),"="&amp;CRONO!U$12,OFFSET(CÁLCULO!$AJ$15:$BB$15,$E20,0,OFFSET(ORÇAMENTO!$D$15,CRONO!$E20,0)))+IF(AND($E22&lt;&gt;"",$E22&lt;&gt;0),SUMIF(CÁLCULO!$BC$15:$BU$58,"="&amp;CRONO!U$12,CÁLCULO!$AJ$15:$BB$58)/(ORÇAMENTO!$X$15-CÁLCULO.TotalAdmLocal)*CRONO!$E22,0),U21*$R20),SUMIF(OFFSET($R22,1,0,$Q20-2),($L20+1)&amp;"$",OFFSET(U22,1,0,$Q20-2)))</f>
        <v>0</v>
      </c>
      <c r="V22" s="258">
        <f ca="1">IF($Q20=2,IF(AND(ACOMPANHAMENTO="PLE",ISNUMBER($E20)),SUMIF((OFFSET(CÁLCULO!$BC$15:$BU$15,$E20,0,OFFSET(ORÇAMENTO!$D$15,CRONO!$E20,0))),"="&amp;CRONO!V$12,OFFSET(CÁLCULO!$AJ$15:$BB$15,$E20,0,OFFSET(ORÇAMENTO!$D$15,CRONO!$E20,0)))+IF(AND($E22&lt;&gt;"",$E22&lt;&gt;0),SUMIF(CÁLCULO!$BC$15:$BU$58,"="&amp;CRONO!V$12,CÁLCULO!$AJ$15:$BB$58)/(ORÇAMENTO!$X$15-CÁLCULO.TotalAdmLocal)*CRONO!$E22,0),V21*$R20),SUMIF(OFFSET($R22,1,0,$Q20-2),($L20+1)&amp;"$",OFFSET(V22,1,0,$Q20-2)))</f>
        <v>0</v>
      </c>
      <c r="W22" s="258">
        <f ca="1">IF($Q20=2,IF(AND(ACOMPANHAMENTO="PLE",ISNUMBER($E20)),SUMIF((OFFSET(CÁLCULO!$BC$15:$BU$15,$E20,0,OFFSET(ORÇAMENTO!$D$15,CRONO!$E20,0))),"="&amp;CRONO!W$12,OFFSET(CÁLCULO!$AJ$15:$BB$15,$E20,0,OFFSET(ORÇAMENTO!$D$15,CRONO!$E20,0)))+IF(AND($E22&lt;&gt;"",$E22&lt;&gt;0),SUMIF(CÁLCULO!$BC$15:$BU$58,"="&amp;CRONO!W$12,CÁLCULO!$AJ$15:$BB$58)/(ORÇAMENTO!$X$15-CÁLCULO.TotalAdmLocal)*CRONO!$E22,0),W21*$R20),SUMIF(OFFSET($R22,1,0,$Q20-2),($L20+1)&amp;"$",OFFSET(W22,1,0,$Q20-2)))</f>
        <v>0</v>
      </c>
      <c r="X22" s="258">
        <f ca="1">IF($Q20=2,IF(AND(ACOMPANHAMENTO="PLE",ISNUMBER($E20)),SUMIF((OFFSET(CÁLCULO!$BC$15:$BU$15,$E20,0,OFFSET(ORÇAMENTO!$D$15,CRONO!$E20,0))),"="&amp;CRONO!X$12,OFFSET(CÁLCULO!$AJ$15:$BB$15,$E20,0,OFFSET(ORÇAMENTO!$D$15,CRONO!$E20,0)))+IF(AND($E22&lt;&gt;"",$E22&lt;&gt;0),SUMIF(CÁLCULO!$BC$15:$BU$58,"="&amp;CRONO!X$12,CÁLCULO!$AJ$15:$BB$58)/(ORÇAMENTO!$X$15-CÁLCULO.TotalAdmLocal)*CRONO!$E22,0),X21*$R20),SUMIF(OFFSET($R22,1,0,$Q20-2),($L20+1)&amp;"$",OFFSET(X22,1,0,$Q20-2)))</f>
        <v>0</v>
      </c>
      <c r="Y22" s="258">
        <f ca="1">IF($Q20=2,IF(AND(ACOMPANHAMENTO="PLE",ISNUMBER($E20)),SUMIF((OFFSET(CÁLCULO!$BC$15:$BU$15,$E20,0,OFFSET(ORÇAMENTO!$D$15,CRONO!$E20,0))),"="&amp;CRONO!Y$12,OFFSET(CÁLCULO!$AJ$15:$BB$15,$E20,0,OFFSET(ORÇAMENTO!$D$15,CRONO!$E20,0)))+IF(AND($E22&lt;&gt;"",$E22&lt;&gt;0),SUMIF(CÁLCULO!$BC$15:$BU$58,"="&amp;CRONO!Y$12,CÁLCULO!$AJ$15:$BB$58)/(ORÇAMENTO!$X$15-CÁLCULO.TotalAdmLocal)*CRONO!$E22,0),Y21*$R20),SUMIF(OFFSET($R22,1,0,$Q20-2),($L20+1)&amp;"$",OFFSET(Y22,1,0,$Q20-2)))</f>
        <v>0</v>
      </c>
      <c r="Z22" s="258">
        <f ca="1">IF($Q20=2,IF(AND(ACOMPANHAMENTO="PLE",ISNUMBER($E20)),SUMIF((OFFSET(CÁLCULO!$BC$15:$BU$15,$E20,0,OFFSET(ORÇAMENTO!$D$15,CRONO!$E20,0))),"="&amp;CRONO!Z$12,OFFSET(CÁLCULO!$AJ$15:$BB$15,$E20,0,OFFSET(ORÇAMENTO!$D$15,CRONO!$E20,0)))+IF(AND($E22&lt;&gt;"",$E22&lt;&gt;0),SUMIF(CÁLCULO!$BC$15:$BU$58,"="&amp;CRONO!Z$12,CÁLCULO!$AJ$15:$BB$58)/(ORÇAMENTO!$X$15-CÁLCULO.TotalAdmLocal)*CRONO!$E22,0),Z21*$R20),SUMIF(OFFSET($R22,1,0,$Q20-2),($L20+1)&amp;"$",OFFSET(Z22,1,0,$Q20-2)))</f>
        <v>0</v>
      </c>
      <c r="AA22" s="258">
        <f ca="1">IF($Q20=2,IF(AND(ACOMPANHAMENTO="PLE",ISNUMBER($E20)),SUMIF((OFFSET(CÁLCULO!$BC$15:$BU$15,$E20,0,OFFSET(ORÇAMENTO!$D$15,CRONO!$E20,0))),"="&amp;CRONO!AA$12,OFFSET(CÁLCULO!$AJ$15:$BB$15,$E20,0,OFFSET(ORÇAMENTO!$D$15,CRONO!$E20,0)))+IF(AND($E22&lt;&gt;"",$E22&lt;&gt;0),SUMIF(CÁLCULO!$BC$15:$BU$58,"="&amp;CRONO!AA$12,CÁLCULO!$AJ$15:$BB$58)/(ORÇAMENTO!$X$15-CÁLCULO.TotalAdmLocal)*CRONO!$E22,0),AA21*$R20),SUMIF(OFFSET($R22,1,0,$Q20-2),($L20+1)&amp;"$",OFFSET(AA22,1,0,$Q20-2)))</f>
        <v>0</v>
      </c>
      <c r="AB22" s="258">
        <f ca="1">IF($Q20=2,IF(AND(ACOMPANHAMENTO="PLE",ISNUMBER($E20)),SUMIF((OFFSET(CÁLCULO!$BC$15:$BU$15,$E20,0,OFFSET(ORÇAMENTO!$D$15,CRONO!$E20,0))),"="&amp;CRONO!AB$12,OFFSET(CÁLCULO!$AJ$15:$BB$15,$E20,0,OFFSET(ORÇAMENTO!$D$15,CRONO!$E20,0)))+IF(AND($E22&lt;&gt;"",$E22&lt;&gt;0),SUMIF(CÁLCULO!$BC$15:$BU$58,"="&amp;CRONO!AB$12,CÁLCULO!$AJ$15:$BB$58)/(ORÇAMENTO!$X$15-CÁLCULO.TotalAdmLocal)*CRONO!$E22,0),AB21*$R20),SUMIF(OFFSET($R22,1,0,$Q20-2),($L20+1)&amp;"$",OFFSET(AB22,1,0,$Q20-2)))</f>
        <v>0</v>
      </c>
      <c r="AC22" s="258">
        <f ca="1">IF($Q20=2,IF(AND(ACOMPANHAMENTO="PLE",ISNUMBER($E20)),SUMIF((OFFSET(CÁLCULO!$BC$15:$BU$15,$E20,0,OFFSET(ORÇAMENTO!$D$15,CRONO!$E20,0))),"="&amp;CRONO!AC$12,OFFSET(CÁLCULO!$AJ$15:$BB$15,$E20,0,OFFSET(ORÇAMENTO!$D$15,CRONO!$E20,0)))+IF(AND($E22&lt;&gt;"",$E22&lt;&gt;0),SUMIF(CÁLCULO!$BC$15:$BU$58,"="&amp;CRONO!AC$12,CÁLCULO!$AJ$15:$BB$58)/(ORÇAMENTO!$X$15-CÁLCULO.TotalAdmLocal)*CRONO!$E22,0),AC21*$R20),SUMIF(OFFSET($R22,1,0,$Q20-2),($L20+1)&amp;"$",OFFSET(AC22,1,0,$Q20-2)))</f>
        <v>0</v>
      </c>
      <c r="AD22" s="258">
        <f ca="1">IF($Q20=2,IF(AND(ACOMPANHAMENTO="PLE",ISNUMBER($E20)),SUMIF((OFFSET(CÁLCULO!$BC$15:$BU$15,$E20,0,OFFSET(ORÇAMENTO!$D$15,CRONO!$E20,0))),"="&amp;CRONO!AD$12,OFFSET(CÁLCULO!$AJ$15:$BB$15,$E20,0,OFFSET(ORÇAMENTO!$D$15,CRONO!$E20,0)))+IF(AND($E22&lt;&gt;"",$E22&lt;&gt;0),SUMIF(CÁLCULO!$BC$15:$BU$58,"="&amp;CRONO!AD$12,CÁLCULO!$AJ$15:$BB$58)/(ORÇAMENTO!$X$15-CÁLCULO.TotalAdmLocal)*CRONO!$E22,0),AD21*$R20),SUMIF(OFFSET($R22,1,0,$Q20-2),($L20+1)&amp;"$",OFFSET(AD22,1,0,$Q20-2)))</f>
        <v>0</v>
      </c>
      <c r="AE22" s="263">
        <f ca="1">IF($Q20=2,IF(AND(ACOMPANHAMENTO="PLE",ISNUMBER($E20)),SUMIF((OFFSET(CÁLCULO!$BC$15:$BU$15,$E20,0,OFFSET(ORÇAMENTO!$D$15,CRONO!$E20,0))),"="&amp;CRONO!AE$12,OFFSET(CÁLCULO!$AJ$15:$BB$15,$E20,0,OFFSET(ORÇAMENTO!$D$15,CRONO!$E20,0)))+IF(AND($E22&lt;&gt;"",$E22&lt;&gt;0),SUMIF(CÁLCULO!$BC$15:$BU$58,"="&amp;CRONO!AE$12,CÁLCULO!$AJ$15:$BB$58)/(ORÇAMENTO!$X$15-CÁLCULO.TotalAdmLocal)*CRONO!$E22,0),AE21*$R20),SUMIF(OFFSET($R22,1,0,$Q20-2),($L20+1)&amp;"$",OFFSET(AE22,1,0,$Q20-2)))</f>
        <v>0</v>
      </c>
    </row>
    <row r="23" spans="1:32" x14ac:dyDescent="0.2">
      <c r="A23" s="239">
        <f t="shared" ref="A23" ca="1" si="24">OFFSET(A23,-3,0)+1</f>
        <v>4</v>
      </c>
      <c r="B23" s="239">
        <f ca="1">IF($Q23&lt;&gt;2,0,IF($R23=0,1,IF(E24&gt;0,OFFSET(QCI!$M$13,SUBSTITUTE(E24,".",""),0),OFFSET(ORÇAMENTO!$AA$15,CRONO!$E23,0))/$R23))</f>
        <v>1</v>
      </c>
      <c r="C23" s="239">
        <f ca="1">IF($Q23&lt;&gt;2,0,IF($R23=0,1,IF(E24&gt;0,OFFSET(QCI!$N$13,SUBSTITUTE(E24,".",""),0),OFFSET(ORÇAMENTO!$AB$15,CRONO!$E23,0))/$R23))</f>
        <v>1</v>
      </c>
      <c r="D23" s="242" t="e">
        <f ca="1">IF(AND($Q23=2,ACOMPANHAMENTO="BM"),D24,D25/$R23)</f>
        <v>#DIV/0!</v>
      </c>
      <c r="E23" s="239">
        <f ca="1">IF(A23&lt;=ORÇAMENTO.MáximoListaCrono,MATCH(A23,ORÇAMENTO.ListaCrono,0),NA())</f>
        <v>15</v>
      </c>
      <c r="F23" s="239" t="str">
        <f t="shared" ref="F23" ca="1" si="25">IF(AND($E24&lt;&gt;-1,$R23&gt;0),"F","")</f>
        <v/>
      </c>
      <c r="G23" s="243" t="str">
        <f ca="1">IF(OR(R23=0,R23=""),"Linha",IF(AND(OR(ACOMPANHAMENTO="PLE",$Q23&lt;&gt;2),$E24=0),"Linha",1-SUM(T23:AF23)))</f>
        <v>Linha</v>
      </c>
      <c r="H23" s="244" t="str">
        <f ca="1">IF($E24=0,OFFSET(ORÇAMENTO!O$15,$E23,0),IF($E24&lt;&gt;-1,OFFSET(QCI!$D$13,$E24,0),""))</f>
        <v>1.3.</v>
      </c>
      <c r="I23" s="245" t="str">
        <f ca="1">IF($E24=0,OFFSET(ORÇAMENTO!R$15,$E23,0),IF($E24&lt;&gt;-1,OFFSET(QCI!$G$13,$E24,0),""))</f>
        <v>IMPRIMAÇÃO</v>
      </c>
      <c r="J23" s="245"/>
      <c r="K23" s="245"/>
      <c r="L23" s="246">
        <f ca="1">IF($E24=0,OFFSET(ORÇAMENTO!C$15,$E23,0),1)</f>
        <v>2</v>
      </c>
      <c r="M23" s="247">
        <f ca="1">IF($E24=-1,0,IF(M$13&lt;=$L23,IF(ISERROR(MATCH(M$13,OFFSET($L23,1,0,ROW($L$41)-ROW($L23)-1),0)),ROW($L$41)-ROW($L23)-1,MATCH(M$13,OFFSET($L23,1,0,ROW($L$41)-ROW($L23)-1),0)-1),0))</f>
        <v>17</v>
      </c>
      <c r="N23" s="247">
        <f ca="1">IF($E24=-1,0,IF(N$13&lt;=$L23,IF(ISERROR(MATCH(N$13,OFFSET($L23,1,0,ROW($L$41)-ROW($L23)-1),0)),ROW($L$41)-ROW($L23)-1,MATCH(N$13,OFFSET($L23,1,0,ROW($L$41)-ROW($L23)-1),0)-1),0))</f>
        <v>2</v>
      </c>
      <c r="O23" s="247">
        <f ca="1">IF($E24=-1,0,IF(O$13&lt;=$L23,IF(ISERROR(MATCH(O$13,OFFSET($L23,1,0,ROW($L$41)-ROW($L23)-1),0)),ROW($L$41)-ROW($L23)-1,MATCH(O$13,OFFSET($L23,1,0,ROW($L$41)-ROW($L23)-1),0)-1),0))</f>
        <v>0</v>
      </c>
      <c r="P23" s="247">
        <f ca="1">IF($E24=-1,0,IF(P$13&lt;=$L23,IF(ISERROR(MATCH(P$13,OFFSET($L23,1,0,ROW($L$41)-ROW($L23)-1),0)),ROW($L$41)-ROW($L23)-1,MATCH(P$13,OFFSET($L23,1,0,ROW($L$41)-ROW($L23)-1),0)-1),0))</f>
        <v>0</v>
      </c>
      <c r="Q23" s="247">
        <f t="shared" ref="Q23" ca="1" si="26">MIN(OFFSET(L23,0,1,,L23))</f>
        <v>2</v>
      </c>
      <c r="R23" s="248">
        <f ca="1">IF($E24=0,OFFSET(ORÇAMENTO!X$15,$E23,0),IF($E24&lt;&gt;-1,OFFSET(QCI!$O$13,$E24,0),""))</f>
        <v>0</v>
      </c>
      <c r="S23" s="249" t="s">
        <v>270</v>
      </c>
      <c r="T23" s="250" t="e">
        <f t="shared" ref="T23:AE23" ca="1" si="27">IF(AND($Q23=2,ACOMPANHAMENTO="BM"),T24,T25/$R23)</f>
        <v>#DIV/0!</v>
      </c>
      <c r="U23" s="242" t="e">
        <f t="shared" ca="1" si="27"/>
        <v>#DIV/0!</v>
      </c>
      <c r="V23" s="242" t="e">
        <f t="shared" ca="1" si="27"/>
        <v>#DIV/0!</v>
      </c>
      <c r="W23" s="242" t="e">
        <f t="shared" ca="1" si="27"/>
        <v>#DIV/0!</v>
      </c>
      <c r="X23" s="242" t="e">
        <f t="shared" ca="1" si="27"/>
        <v>#DIV/0!</v>
      </c>
      <c r="Y23" s="242" t="e">
        <f t="shared" ca="1" si="27"/>
        <v>#DIV/0!</v>
      </c>
      <c r="Z23" s="242" t="e">
        <f t="shared" ca="1" si="27"/>
        <v>#DIV/0!</v>
      </c>
      <c r="AA23" s="242" t="e">
        <f t="shared" ca="1" si="27"/>
        <v>#DIV/0!</v>
      </c>
      <c r="AB23" s="242" t="e">
        <f t="shared" ca="1" si="27"/>
        <v>#DIV/0!</v>
      </c>
      <c r="AC23" s="242" t="e">
        <f t="shared" ca="1" si="27"/>
        <v>#DIV/0!</v>
      </c>
      <c r="AD23" s="242" t="e">
        <f t="shared" ca="1" si="27"/>
        <v>#DIV/0!</v>
      </c>
      <c r="AE23" s="251" t="e">
        <f t="shared" ca="1" si="27"/>
        <v>#DIV/0!</v>
      </c>
    </row>
    <row r="24" spans="1:32" ht="12.75" customHeight="1" x14ac:dyDescent="0.2">
      <c r="D24" s="657"/>
      <c r="E24" s="239">
        <f ca="1">IF(ISERROR(E23),IF(1+COUNTIF($L$13:OFFSET(L23,-1,0),1)&lt;=MAX(QCI!$D$13:$D$15),1+COUNTIF($L$13:OFFSET(L23,-1,0),1),-1),0)</f>
        <v>0</v>
      </c>
      <c r="F24" s="239" t="str">
        <f t="shared" ref="F24" ca="1" si="28">IF(AND($E24&lt;&gt;-1,$R23&gt;0),"F","")</f>
        <v/>
      </c>
      <c r="G24" s="252" t="str">
        <f ca="1">IF(OR(R23=0,R23=""),"vazia",IF(AND(OR(ACOMPANHAMENTO="PLE",$Q23&lt;&gt;2),$E24=0),"calculada","--&gt;"))</f>
        <v>vazia</v>
      </c>
      <c r="H24" s="253"/>
      <c r="I24" s="254" t="str">
        <f t="shared" ref="I24" ca="1" si="29">IF(AND(G23&lt;&gt;0,ISNUMBER(G23)),"PREENCHA ESTA LINHA --&gt;","")</f>
        <v/>
      </c>
      <c r="J24" s="254"/>
      <c r="K24" s="254"/>
      <c r="L24" s="255"/>
      <c r="M24" s="255"/>
      <c r="N24" s="255"/>
      <c r="O24" s="255"/>
      <c r="P24" s="255"/>
      <c r="Q24" s="255"/>
      <c r="R24" s="256"/>
      <c r="S24" s="257"/>
      <c r="T24" s="658"/>
      <c r="U24" s="657"/>
      <c r="V24" s="657"/>
      <c r="W24" s="657"/>
      <c r="X24" s="657"/>
      <c r="Y24" s="657"/>
      <c r="Z24" s="657"/>
      <c r="AA24" s="657"/>
      <c r="AB24" s="657"/>
      <c r="AC24" s="657"/>
      <c r="AD24" s="657"/>
      <c r="AE24" s="659"/>
      <c r="AF24" s="618"/>
    </row>
    <row r="25" spans="1:32" ht="0.2" hidden="1" customHeight="1" x14ac:dyDescent="0.2">
      <c r="D25" s="258">
        <f ca="1">IF($Q23=2,IF(AND(ACOMPANHAMENTO="PLE",ISNUMBER($E23)),SUMIF((OFFSET(CÁLCULO!$BC$15:$BU$15,$E23,0,OFFSET(ORÇAMENTO!$D$15,CRONO!$E23,0))),"="&amp;CRONO!D$12,OFFSET(CÁLCULO!$AJ$15:$BB$15,$E23,0,OFFSET(ORÇAMENTO!$D$15,CRONO!$E23,0)))+IF(AND($E25&lt;&gt;"",$E25&lt;&gt;0),SUMIF(CÁLCULO!$BC$15:$BU$58,"="&amp;CRONO!D$12,CÁLCULO!$AJ$15:$BB$58)/(ORÇAMENTO!$X$15-CÁLCULO.TotalAdmLocal)*CRONO!$E25,0),D24*$R23),SUMIF(OFFSET($R25,1,0,$Q23-2),($L23+1)&amp;"$",OFFSET(D25,1,0,$Q23-2)))</f>
        <v>0</v>
      </c>
      <c r="E25" s="239" t="str">
        <f ca="1">IF(OR($Q23&lt;&gt;2,AUTOEVENTO&lt;&gt;"manual",$E24&gt;0),"",SUMIF(OFFSET(CÁLCULO!$M$15,CRONO!$E23,0,OFFSET(ORÇAMENTO!$D$15,CRONO!$E23,0)),1,OFFSET(ORÇAMENTO!$X$15,CRONO!$E23,0,OFFSET(ORÇAMENTO!$D$15,CRONO!$E23,0))))</f>
        <v/>
      </c>
      <c r="G25" s="259"/>
      <c r="R25" s="260" t="str">
        <f t="shared" ref="R25" ca="1" si="30">L23&amp;"$"</f>
        <v>2$</v>
      </c>
      <c r="S25" s="261"/>
      <c r="T25" s="262">
        <f ca="1">IF($Q23=2,IF(AND(ACOMPANHAMENTO="PLE",ISNUMBER($E23)),SUMIF((OFFSET(CÁLCULO!$BC$15:$BU$15,$E23,0,OFFSET(ORÇAMENTO!$D$15,CRONO!$E23,0))),"&lt;="&amp;CRONO!T$12,OFFSET(CÁLCULO!$AJ$15:$BB$15,$E23,0,OFFSET(ORÇAMENTO!$D$15,CRONO!$E23,0)))+IF(AND($E25&lt;&gt;"",$E25&lt;&gt;0),SUMIF(CÁLCULO!$BC$15:$BU$58,"&lt;="&amp;CRONO!T$12,CÁLCULO!$AJ$15:$BB$58)/(ORÇAMENTO!$X$15-CÁLCULO.TotalAdmLocal)*CRONO!$E25,0),T24*$R23),SUMIF(OFFSET($R25,1,0,$Q23-2),($L23+1)&amp;"$",OFFSET(T25,1,0,$Q23-2)))</f>
        <v>0</v>
      </c>
      <c r="U25" s="258">
        <f ca="1">IF($Q23=2,IF(AND(ACOMPANHAMENTO="PLE",ISNUMBER($E23)),SUMIF((OFFSET(CÁLCULO!$BC$15:$BU$15,$E23,0,OFFSET(ORÇAMENTO!$D$15,CRONO!$E23,0))),"="&amp;CRONO!U$12,OFFSET(CÁLCULO!$AJ$15:$BB$15,$E23,0,OFFSET(ORÇAMENTO!$D$15,CRONO!$E23,0)))+IF(AND($E25&lt;&gt;"",$E25&lt;&gt;0),SUMIF(CÁLCULO!$BC$15:$BU$58,"="&amp;CRONO!U$12,CÁLCULO!$AJ$15:$BB$58)/(ORÇAMENTO!$X$15-CÁLCULO.TotalAdmLocal)*CRONO!$E25,0),U24*$R23),SUMIF(OFFSET($R25,1,0,$Q23-2),($L23+1)&amp;"$",OFFSET(U25,1,0,$Q23-2)))</f>
        <v>0</v>
      </c>
      <c r="V25" s="258">
        <f ca="1">IF($Q23=2,IF(AND(ACOMPANHAMENTO="PLE",ISNUMBER($E23)),SUMIF((OFFSET(CÁLCULO!$BC$15:$BU$15,$E23,0,OFFSET(ORÇAMENTO!$D$15,CRONO!$E23,0))),"="&amp;CRONO!V$12,OFFSET(CÁLCULO!$AJ$15:$BB$15,$E23,0,OFFSET(ORÇAMENTO!$D$15,CRONO!$E23,0)))+IF(AND($E25&lt;&gt;"",$E25&lt;&gt;0),SUMIF(CÁLCULO!$BC$15:$BU$58,"="&amp;CRONO!V$12,CÁLCULO!$AJ$15:$BB$58)/(ORÇAMENTO!$X$15-CÁLCULO.TotalAdmLocal)*CRONO!$E25,0),V24*$R23),SUMIF(OFFSET($R25,1,0,$Q23-2),($L23+1)&amp;"$",OFFSET(V25,1,0,$Q23-2)))</f>
        <v>0</v>
      </c>
      <c r="W25" s="258">
        <f ca="1">IF($Q23=2,IF(AND(ACOMPANHAMENTO="PLE",ISNUMBER($E23)),SUMIF((OFFSET(CÁLCULO!$BC$15:$BU$15,$E23,0,OFFSET(ORÇAMENTO!$D$15,CRONO!$E23,0))),"="&amp;CRONO!W$12,OFFSET(CÁLCULO!$AJ$15:$BB$15,$E23,0,OFFSET(ORÇAMENTO!$D$15,CRONO!$E23,0)))+IF(AND($E25&lt;&gt;"",$E25&lt;&gt;0),SUMIF(CÁLCULO!$BC$15:$BU$58,"="&amp;CRONO!W$12,CÁLCULO!$AJ$15:$BB$58)/(ORÇAMENTO!$X$15-CÁLCULO.TotalAdmLocal)*CRONO!$E25,0),W24*$R23),SUMIF(OFFSET($R25,1,0,$Q23-2),($L23+1)&amp;"$",OFFSET(W25,1,0,$Q23-2)))</f>
        <v>0</v>
      </c>
      <c r="X25" s="258">
        <f ca="1">IF($Q23=2,IF(AND(ACOMPANHAMENTO="PLE",ISNUMBER($E23)),SUMIF((OFFSET(CÁLCULO!$BC$15:$BU$15,$E23,0,OFFSET(ORÇAMENTO!$D$15,CRONO!$E23,0))),"="&amp;CRONO!X$12,OFFSET(CÁLCULO!$AJ$15:$BB$15,$E23,0,OFFSET(ORÇAMENTO!$D$15,CRONO!$E23,0)))+IF(AND($E25&lt;&gt;"",$E25&lt;&gt;0),SUMIF(CÁLCULO!$BC$15:$BU$58,"="&amp;CRONO!X$12,CÁLCULO!$AJ$15:$BB$58)/(ORÇAMENTO!$X$15-CÁLCULO.TotalAdmLocal)*CRONO!$E25,0),X24*$R23),SUMIF(OFFSET($R25,1,0,$Q23-2),($L23+1)&amp;"$",OFFSET(X25,1,0,$Q23-2)))</f>
        <v>0</v>
      </c>
      <c r="Y25" s="258">
        <f ca="1">IF($Q23=2,IF(AND(ACOMPANHAMENTO="PLE",ISNUMBER($E23)),SUMIF((OFFSET(CÁLCULO!$BC$15:$BU$15,$E23,0,OFFSET(ORÇAMENTO!$D$15,CRONO!$E23,0))),"="&amp;CRONO!Y$12,OFFSET(CÁLCULO!$AJ$15:$BB$15,$E23,0,OFFSET(ORÇAMENTO!$D$15,CRONO!$E23,0)))+IF(AND($E25&lt;&gt;"",$E25&lt;&gt;0),SUMIF(CÁLCULO!$BC$15:$BU$58,"="&amp;CRONO!Y$12,CÁLCULO!$AJ$15:$BB$58)/(ORÇAMENTO!$X$15-CÁLCULO.TotalAdmLocal)*CRONO!$E25,0),Y24*$R23),SUMIF(OFFSET($R25,1,0,$Q23-2),($L23+1)&amp;"$",OFFSET(Y25,1,0,$Q23-2)))</f>
        <v>0</v>
      </c>
      <c r="Z25" s="258">
        <f ca="1">IF($Q23=2,IF(AND(ACOMPANHAMENTO="PLE",ISNUMBER($E23)),SUMIF((OFFSET(CÁLCULO!$BC$15:$BU$15,$E23,0,OFFSET(ORÇAMENTO!$D$15,CRONO!$E23,0))),"="&amp;CRONO!Z$12,OFFSET(CÁLCULO!$AJ$15:$BB$15,$E23,0,OFFSET(ORÇAMENTO!$D$15,CRONO!$E23,0)))+IF(AND($E25&lt;&gt;"",$E25&lt;&gt;0),SUMIF(CÁLCULO!$BC$15:$BU$58,"="&amp;CRONO!Z$12,CÁLCULO!$AJ$15:$BB$58)/(ORÇAMENTO!$X$15-CÁLCULO.TotalAdmLocal)*CRONO!$E25,0),Z24*$R23),SUMIF(OFFSET($R25,1,0,$Q23-2),($L23+1)&amp;"$",OFFSET(Z25,1,0,$Q23-2)))</f>
        <v>0</v>
      </c>
      <c r="AA25" s="258">
        <f ca="1">IF($Q23=2,IF(AND(ACOMPANHAMENTO="PLE",ISNUMBER($E23)),SUMIF((OFFSET(CÁLCULO!$BC$15:$BU$15,$E23,0,OFFSET(ORÇAMENTO!$D$15,CRONO!$E23,0))),"="&amp;CRONO!AA$12,OFFSET(CÁLCULO!$AJ$15:$BB$15,$E23,0,OFFSET(ORÇAMENTO!$D$15,CRONO!$E23,0)))+IF(AND($E25&lt;&gt;"",$E25&lt;&gt;0),SUMIF(CÁLCULO!$BC$15:$BU$58,"="&amp;CRONO!AA$12,CÁLCULO!$AJ$15:$BB$58)/(ORÇAMENTO!$X$15-CÁLCULO.TotalAdmLocal)*CRONO!$E25,0),AA24*$R23),SUMIF(OFFSET($R25,1,0,$Q23-2),($L23+1)&amp;"$",OFFSET(AA25,1,0,$Q23-2)))</f>
        <v>0</v>
      </c>
      <c r="AB25" s="258">
        <f ca="1">IF($Q23=2,IF(AND(ACOMPANHAMENTO="PLE",ISNUMBER($E23)),SUMIF((OFFSET(CÁLCULO!$BC$15:$BU$15,$E23,0,OFFSET(ORÇAMENTO!$D$15,CRONO!$E23,0))),"="&amp;CRONO!AB$12,OFFSET(CÁLCULO!$AJ$15:$BB$15,$E23,0,OFFSET(ORÇAMENTO!$D$15,CRONO!$E23,0)))+IF(AND($E25&lt;&gt;"",$E25&lt;&gt;0),SUMIF(CÁLCULO!$BC$15:$BU$58,"="&amp;CRONO!AB$12,CÁLCULO!$AJ$15:$BB$58)/(ORÇAMENTO!$X$15-CÁLCULO.TotalAdmLocal)*CRONO!$E25,0),AB24*$R23),SUMIF(OFFSET($R25,1,0,$Q23-2),($L23+1)&amp;"$",OFFSET(AB25,1,0,$Q23-2)))</f>
        <v>0</v>
      </c>
      <c r="AC25" s="258">
        <f ca="1">IF($Q23=2,IF(AND(ACOMPANHAMENTO="PLE",ISNUMBER($E23)),SUMIF((OFFSET(CÁLCULO!$BC$15:$BU$15,$E23,0,OFFSET(ORÇAMENTO!$D$15,CRONO!$E23,0))),"="&amp;CRONO!AC$12,OFFSET(CÁLCULO!$AJ$15:$BB$15,$E23,0,OFFSET(ORÇAMENTO!$D$15,CRONO!$E23,0)))+IF(AND($E25&lt;&gt;"",$E25&lt;&gt;0),SUMIF(CÁLCULO!$BC$15:$BU$58,"="&amp;CRONO!AC$12,CÁLCULO!$AJ$15:$BB$58)/(ORÇAMENTO!$X$15-CÁLCULO.TotalAdmLocal)*CRONO!$E25,0),AC24*$R23),SUMIF(OFFSET($R25,1,0,$Q23-2),($L23+1)&amp;"$",OFFSET(AC25,1,0,$Q23-2)))</f>
        <v>0</v>
      </c>
      <c r="AD25" s="258">
        <f ca="1">IF($Q23=2,IF(AND(ACOMPANHAMENTO="PLE",ISNUMBER($E23)),SUMIF((OFFSET(CÁLCULO!$BC$15:$BU$15,$E23,0,OFFSET(ORÇAMENTO!$D$15,CRONO!$E23,0))),"="&amp;CRONO!AD$12,OFFSET(CÁLCULO!$AJ$15:$BB$15,$E23,0,OFFSET(ORÇAMENTO!$D$15,CRONO!$E23,0)))+IF(AND($E25&lt;&gt;"",$E25&lt;&gt;0),SUMIF(CÁLCULO!$BC$15:$BU$58,"="&amp;CRONO!AD$12,CÁLCULO!$AJ$15:$BB$58)/(ORÇAMENTO!$X$15-CÁLCULO.TotalAdmLocal)*CRONO!$E25,0),AD24*$R23),SUMIF(OFFSET($R25,1,0,$Q23-2),($L23+1)&amp;"$",OFFSET(AD25,1,0,$Q23-2)))</f>
        <v>0</v>
      </c>
      <c r="AE25" s="263">
        <f ca="1">IF($Q23=2,IF(AND(ACOMPANHAMENTO="PLE",ISNUMBER($E23)),SUMIF((OFFSET(CÁLCULO!$BC$15:$BU$15,$E23,0,OFFSET(ORÇAMENTO!$D$15,CRONO!$E23,0))),"="&amp;CRONO!AE$12,OFFSET(CÁLCULO!$AJ$15:$BB$15,$E23,0,OFFSET(ORÇAMENTO!$D$15,CRONO!$E23,0)))+IF(AND($E25&lt;&gt;"",$E25&lt;&gt;0),SUMIF(CÁLCULO!$BC$15:$BU$58,"="&amp;CRONO!AE$12,CÁLCULO!$AJ$15:$BB$58)/(ORÇAMENTO!$X$15-CÁLCULO.TotalAdmLocal)*CRONO!$E25,0),AE24*$R23),SUMIF(OFFSET($R25,1,0,$Q23-2),($L23+1)&amp;"$",OFFSET(AE25,1,0,$Q23-2)))</f>
        <v>0</v>
      </c>
    </row>
    <row r="26" spans="1:32" x14ac:dyDescent="0.2">
      <c r="A26" s="239">
        <f t="shared" ref="A26" ca="1" si="31">OFFSET(A26,-3,0)+1</f>
        <v>5</v>
      </c>
      <c r="B26" s="239">
        <f ca="1">IF($Q26&lt;&gt;2,0,IF($R26=0,1,IF(E27&gt;0,OFFSET(QCI!$M$13,SUBSTITUTE(E27,".",""),0),OFFSET(ORÇAMENTO!$AA$15,CRONO!$E26,0))/$R26))</f>
        <v>1</v>
      </c>
      <c r="C26" s="239">
        <f ca="1">IF($Q26&lt;&gt;2,0,IF($R26=0,1,IF(E27&gt;0,OFFSET(QCI!$N$13,SUBSTITUTE(E27,".",""),0),OFFSET(ORÇAMENTO!$AB$15,CRONO!$E26,0))/$R26))</f>
        <v>1</v>
      </c>
      <c r="D26" s="242" t="e">
        <f ca="1">IF(AND($Q26=2,ACOMPANHAMENTO="BM"),D27,D28/$R26)</f>
        <v>#DIV/0!</v>
      </c>
      <c r="E26" s="239">
        <f ca="1">IF(A26&lt;=ORÇAMENTO.MáximoListaCrono,MATCH(A26,ORÇAMENTO.ListaCrono,0),NA())</f>
        <v>18</v>
      </c>
      <c r="F26" s="239" t="str">
        <f t="shared" ref="F26" ca="1" si="32">IF(AND($E27&lt;&gt;-1,$R26&gt;0),"F","")</f>
        <v/>
      </c>
      <c r="G26" s="243" t="str">
        <f ca="1">IF(OR(R26=0,R26=""),"Linha",IF(AND(OR(ACOMPANHAMENTO="PLE",$Q26&lt;&gt;2),$E27=0),"Linha",1-SUM(T26:AF26)))</f>
        <v>Linha</v>
      </c>
      <c r="H26" s="244" t="str">
        <f ca="1">IF($E27=0,OFFSET(ORÇAMENTO!O$15,$E26,0),IF($E27&lt;&gt;-1,OFFSET(QCI!$D$13,$E27,0),""))</f>
        <v>1.4.</v>
      </c>
      <c r="I26" s="245" t="str">
        <f ca="1">IF($E27=0,OFFSET(ORÇAMENTO!R$15,$E26,0),IF($E27&lt;&gt;-1,OFFSET(QCI!$G$13,$E27,0),""))</f>
        <v>PINTURA DE LIGAÇÃO</v>
      </c>
      <c r="J26" s="245"/>
      <c r="K26" s="245"/>
      <c r="L26" s="246">
        <f ca="1">IF($E27=0,OFFSET(ORÇAMENTO!C$15,$E26,0),1)</f>
        <v>2</v>
      </c>
      <c r="M26" s="247">
        <f ca="1">IF($E27=-1,0,IF(M$13&lt;=$L26,IF(ISERROR(MATCH(M$13,OFFSET($L26,1,0,ROW($L$41)-ROW($L26)-1),0)),ROW($L$41)-ROW($L26)-1,MATCH(M$13,OFFSET($L26,1,0,ROW($L$41)-ROW($L26)-1),0)-1),0))</f>
        <v>14</v>
      </c>
      <c r="N26" s="247">
        <f ca="1">IF($E27=-1,0,IF(N$13&lt;=$L26,IF(ISERROR(MATCH(N$13,OFFSET($L26,1,0,ROW($L$41)-ROW($L26)-1),0)),ROW($L$41)-ROW($L26)-1,MATCH(N$13,OFFSET($L26,1,0,ROW($L$41)-ROW($L26)-1),0)-1),0))</f>
        <v>2</v>
      </c>
      <c r="O26" s="247">
        <f ca="1">IF($E27=-1,0,IF(O$13&lt;=$L26,IF(ISERROR(MATCH(O$13,OFFSET($L26,1,0,ROW($L$41)-ROW($L26)-1),0)),ROW($L$41)-ROW($L26)-1,MATCH(O$13,OFFSET($L26,1,0,ROW($L$41)-ROW($L26)-1),0)-1),0))</f>
        <v>0</v>
      </c>
      <c r="P26" s="247">
        <f ca="1">IF($E27=-1,0,IF(P$13&lt;=$L26,IF(ISERROR(MATCH(P$13,OFFSET($L26,1,0,ROW($L$41)-ROW($L26)-1),0)),ROW($L$41)-ROW($L26)-1,MATCH(P$13,OFFSET($L26,1,0,ROW($L$41)-ROW($L26)-1),0)-1),0))</f>
        <v>0</v>
      </c>
      <c r="Q26" s="247">
        <f t="shared" ref="Q26" ca="1" si="33">MIN(OFFSET(L26,0,1,,L26))</f>
        <v>2</v>
      </c>
      <c r="R26" s="248">
        <f ca="1">IF($E27=0,OFFSET(ORÇAMENTO!X$15,$E26,0),IF($E27&lt;&gt;-1,OFFSET(QCI!$O$13,$E27,0),""))</f>
        <v>0</v>
      </c>
      <c r="S26" s="249" t="s">
        <v>270</v>
      </c>
      <c r="T26" s="250" t="e">
        <f t="shared" ref="T26:AE26" ca="1" si="34">IF(AND($Q26=2,ACOMPANHAMENTO="BM"),T27,T28/$R26)</f>
        <v>#DIV/0!</v>
      </c>
      <c r="U26" s="242" t="e">
        <f t="shared" ca="1" si="34"/>
        <v>#DIV/0!</v>
      </c>
      <c r="V26" s="242" t="e">
        <f t="shared" ca="1" si="34"/>
        <v>#DIV/0!</v>
      </c>
      <c r="W26" s="242" t="e">
        <f t="shared" ca="1" si="34"/>
        <v>#DIV/0!</v>
      </c>
      <c r="X26" s="242" t="e">
        <f t="shared" ca="1" si="34"/>
        <v>#DIV/0!</v>
      </c>
      <c r="Y26" s="242" t="e">
        <f t="shared" ca="1" si="34"/>
        <v>#DIV/0!</v>
      </c>
      <c r="Z26" s="242" t="e">
        <f t="shared" ca="1" si="34"/>
        <v>#DIV/0!</v>
      </c>
      <c r="AA26" s="242" t="e">
        <f t="shared" ca="1" si="34"/>
        <v>#DIV/0!</v>
      </c>
      <c r="AB26" s="242" t="e">
        <f t="shared" ca="1" si="34"/>
        <v>#DIV/0!</v>
      </c>
      <c r="AC26" s="242" t="e">
        <f t="shared" ca="1" si="34"/>
        <v>#DIV/0!</v>
      </c>
      <c r="AD26" s="242" t="e">
        <f t="shared" ca="1" si="34"/>
        <v>#DIV/0!</v>
      </c>
      <c r="AE26" s="251" t="e">
        <f t="shared" ca="1" si="34"/>
        <v>#DIV/0!</v>
      </c>
    </row>
    <row r="27" spans="1:32" ht="12.75" customHeight="1" x14ac:dyDescent="0.2">
      <c r="D27" s="657"/>
      <c r="E27" s="239">
        <f ca="1">IF(ISERROR(E26),IF(1+COUNTIF($L$13:OFFSET(L26,-1,0),1)&lt;=MAX(QCI!$D$13:$D$15),1+COUNTIF($L$13:OFFSET(L26,-1,0),1),-1),0)</f>
        <v>0</v>
      </c>
      <c r="F27" s="239" t="str">
        <f t="shared" ref="F27" ca="1" si="35">IF(AND($E27&lt;&gt;-1,$R26&gt;0),"F","")</f>
        <v/>
      </c>
      <c r="G27" s="252" t="str">
        <f ca="1">IF(OR(R26=0,R26=""),"vazia",IF(AND(OR(ACOMPANHAMENTO="PLE",$Q26&lt;&gt;2),$E27=0),"calculada","--&gt;"))</f>
        <v>vazia</v>
      </c>
      <c r="H27" s="253"/>
      <c r="I27" s="254" t="str">
        <f t="shared" ref="I27" ca="1" si="36">IF(AND(G26&lt;&gt;0,ISNUMBER(G26)),"PREENCHA ESTA LINHA --&gt;","")</f>
        <v/>
      </c>
      <c r="J27" s="254"/>
      <c r="K27" s="254"/>
      <c r="L27" s="255"/>
      <c r="M27" s="255"/>
      <c r="N27" s="255"/>
      <c r="O27" s="255"/>
      <c r="P27" s="255"/>
      <c r="Q27" s="255"/>
      <c r="R27" s="256"/>
      <c r="S27" s="257"/>
      <c r="T27" s="658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9"/>
      <c r="AF27" s="618"/>
    </row>
    <row r="28" spans="1:32" ht="0.2" hidden="1" customHeight="1" x14ac:dyDescent="0.2">
      <c r="D28" s="258">
        <f ca="1">IF($Q26=2,IF(AND(ACOMPANHAMENTO="PLE",ISNUMBER($E26)),SUMIF((OFFSET(CÁLCULO!$BC$15:$BU$15,$E26,0,OFFSET(ORÇAMENTO!$D$15,CRONO!$E26,0))),"="&amp;CRONO!D$12,OFFSET(CÁLCULO!$AJ$15:$BB$15,$E26,0,OFFSET(ORÇAMENTO!$D$15,CRONO!$E26,0)))+IF(AND($E28&lt;&gt;"",$E28&lt;&gt;0),SUMIF(CÁLCULO!$BC$15:$BU$58,"="&amp;CRONO!D$12,CÁLCULO!$AJ$15:$BB$58)/(ORÇAMENTO!$X$15-CÁLCULO.TotalAdmLocal)*CRONO!$E28,0),D27*$R26),SUMIF(OFFSET($R28,1,0,$Q26-2),($L26+1)&amp;"$",OFFSET(D28,1,0,$Q26-2)))</f>
        <v>0</v>
      </c>
      <c r="E28" s="239" t="str">
        <f ca="1">IF(OR($Q26&lt;&gt;2,AUTOEVENTO&lt;&gt;"manual",$E27&gt;0),"",SUMIF(OFFSET(CÁLCULO!$M$15,CRONO!$E26,0,OFFSET(ORÇAMENTO!$D$15,CRONO!$E26,0)),1,OFFSET(ORÇAMENTO!$X$15,CRONO!$E26,0,OFFSET(ORÇAMENTO!$D$15,CRONO!$E26,0))))</f>
        <v/>
      </c>
      <c r="G28" s="259"/>
      <c r="R28" s="260" t="str">
        <f t="shared" ref="R28" ca="1" si="37">L26&amp;"$"</f>
        <v>2$</v>
      </c>
      <c r="S28" s="261"/>
      <c r="T28" s="262">
        <f ca="1">IF($Q26=2,IF(AND(ACOMPANHAMENTO="PLE",ISNUMBER($E26)),SUMIF((OFFSET(CÁLCULO!$BC$15:$BU$15,$E26,0,OFFSET(ORÇAMENTO!$D$15,CRONO!$E26,0))),"&lt;="&amp;CRONO!T$12,OFFSET(CÁLCULO!$AJ$15:$BB$15,$E26,0,OFFSET(ORÇAMENTO!$D$15,CRONO!$E26,0)))+IF(AND($E28&lt;&gt;"",$E28&lt;&gt;0),SUMIF(CÁLCULO!$BC$15:$BU$58,"&lt;="&amp;CRONO!T$12,CÁLCULO!$AJ$15:$BB$58)/(ORÇAMENTO!$X$15-CÁLCULO.TotalAdmLocal)*CRONO!$E28,0),T27*$R26),SUMIF(OFFSET($R28,1,0,$Q26-2),($L26+1)&amp;"$",OFFSET(T28,1,0,$Q26-2)))</f>
        <v>0</v>
      </c>
      <c r="U28" s="258">
        <f ca="1">IF($Q26=2,IF(AND(ACOMPANHAMENTO="PLE",ISNUMBER($E26)),SUMIF((OFFSET(CÁLCULO!$BC$15:$BU$15,$E26,0,OFFSET(ORÇAMENTO!$D$15,CRONO!$E26,0))),"="&amp;CRONO!U$12,OFFSET(CÁLCULO!$AJ$15:$BB$15,$E26,0,OFFSET(ORÇAMENTO!$D$15,CRONO!$E26,0)))+IF(AND($E28&lt;&gt;"",$E28&lt;&gt;0),SUMIF(CÁLCULO!$BC$15:$BU$58,"="&amp;CRONO!U$12,CÁLCULO!$AJ$15:$BB$58)/(ORÇAMENTO!$X$15-CÁLCULO.TotalAdmLocal)*CRONO!$E28,0),U27*$R26),SUMIF(OFFSET($R28,1,0,$Q26-2),($L26+1)&amp;"$",OFFSET(U28,1,0,$Q26-2)))</f>
        <v>0</v>
      </c>
      <c r="V28" s="258">
        <f ca="1">IF($Q26=2,IF(AND(ACOMPANHAMENTO="PLE",ISNUMBER($E26)),SUMIF((OFFSET(CÁLCULO!$BC$15:$BU$15,$E26,0,OFFSET(ORÇAMENTO!$D$15,CRONO!$E26,0))),"="&amp;CRONO!V$12,OFFSET(CÁLCULO!$AJ$15:$BB$15,$E26,0,OFFSET(ORÇAMENTO!$D$15,CRONO!$E26,0)))+IF(AND($E28&lt;&gt;"",$E28&lt;&gt;0),SUMIF(CÁLCULO!$BC$15:$BU$58,"="&amp;CRONO!V$12,CÁLCULO!$AJ$15:$BB$58)/(ORÇAMENTO!$X$15-CÁLCULO.TotalAdmLocal)*CRONO!$E28,0),V27*$R26),SUMIF(OFFSET($R28,1,0,$Q26-2),($L26+1)&amp;"$",OFFSET(V28,1,0,$Q26-2)))</f>
        <v>0</v>
      </c>
      <c r="W28" s="258">
        <f ca="1">IF($Q26=2,IF(AND(ACOMPANHAMENTO="PLE",ISNUMBER($E26)),SUMIF((OFFSET(CÁLCULO!$BC$15:$BU$15,$E26,0,OFFSET(ORÇAMENTO!$D$15,CRONO!$E26,0))),"="&amp;CRONO!W$12,OFFSET(CÁLCULO!$AJ$15:$BB$15,$E26,0,OFFSET(ORÇAMENTO!$D$15,CRONO!$E26,0)))+IF(AND($E28&lt;&gt;"",$E28&lt;&gt;0),SUMIF(CÁLCULO!$BC$15:$BU$58,"="&amp;CRONO!W$12,CÁLCULO!$AJ$15:$BB$58)/(ORÇAMENTO!$X$15-CÁLCULO.TotalAdmLocal)*CRONO!$E28,0),W27*$R26),SUMIF(OFFSET($R28,1,0,$Q26-2),($L26+1)&amp;"$",OFFSET(W28,1,0,$Q26-2)))</f>
        <v>0</v>
      </c>
      <c r="X28" s="258">
        <f ca="1">IF($Q26=2,IF(AND(ACOMPANHAMENTO="PLE",ISNUMBER($E26)),SUMIF((OFFSET(CÁLCULO!$BC$15:$BU$15,$E26,0,OFFSET(ORÇAMENTO!$D$15,CRONO!$E26,0))),"="&amp;CRONO!X$12,OFFSET(CÁLCULO!$AJ$15:$BB$15,$E26,0,OFFSET(ORÇAMENTO!$D$15,CRONO!$E26,0)))+IF(AND($E28&lt;&gt;"",$E28&lt;&gt;0),SUMIF(CÁLCULO!$BC$15:$BU$58,"="&amp;CRONO!X$12,CÁLCULO!$AJ$15:$BB$58)/(ORÇAMENTO!$X$15-CÁLCULO.TotalAdmLocal)*CRONO!$E28,0),X27*$R26),SUMIF(OFFSET($R28,1,0,$Q26-2),($L26+1)&amp;"$",OFFSET(X28,1,0,$Q26-2)))</f>
        <v>0</v>
      </c>
      <c r="Y28" s="258">
        <f ca="1">IF($Q26=2,IF(AND(ACOMPANHAMENTO="PLE",ISNUMBER($E26)),SUMIF((OFFSET(CÁLCULO!$BC$15:$BU$15,$E26,0,OFFSET(ORÇAMENTO!$D$15,CRONO!$E26,0))),"="&amp;CRONO!Y$12,OFFSET(CÁLCULO!$AJ$15:$BB$15,$E26,0,OFFSET(ORÇAMENTO!$D$15,CRONO!$E26,0)))+IF(AND($E28&lt;&gt;"",$E28&lt;&gt;0),SUMIF(CÁLCULO!$BC$15:$BU$58,"="&amp;CRONO!Y$12,CÁLCULO!$AJ$15:$BB$58)/(ORÇAMENTO!$X$15-CÁLCULO.TotalAdmLocal)*CRONO!$E28,0),Y27*$R26),SUMIF(OFFSET($R28,1,0,$Q26-2),($L26+1)&amp;"$",OFFSET(Y28,1,0,$Q26-2)))</f>
        <v>0</v>
      </c>
      <c r="Z28" s="258">
        <f ca="1">IF($Q26=2,IF(AND(ACOMPANHAMENTO="PLE",ISNUMBER($E26)),SUMIF((OFFSET(CÁLCULO!$BC$15:$BU$15,$E26,0,OFFSET(ORÇAMENTO!$D$15,CRONO!$E26,0))),"="&amp;CRONO!Z$12,OFFSET(CÁLCULO!$AJ$15:$BB$15,$E26,0,OFFSET(ORÇAMENTO!$D$15,CRONO!$E26,0)))+IF(AND($E28&lt;&gt;"",$E28&lt;&gt;0),SUMIF(CÁLCULO!$BC$15:$BU$58,"="&amp;CRONO!Z$12,CÁLCULO!$AJ$15:$BB$58)/(ORÇAMENTO!$X$15-CÁLCULO.TotalAdmLocal)*CRONO!$E28,0),Z27*$R26),SUMIF(OFFSET($R28,1,0,$Q26-2),($L26+1)&amp;"$",OFFSET(Z28,1,0,$Q26-2)))</f>
        <v>0</v>
      </c>
      <c r="AA28" s="258">
        <f ca="1">IF($Q26=2,IF(AND(ACOMPANHAMENTO="PLE",ISNUMBER($E26)),SUMIF((OFFSET(CÁLCULO!$BC$15:$BU$15,$E26,0,OFFSET(ORÇAMENTO!$D$15,CRONO!$E26,0))),"="&amp;CRONO!AA$12,OFFSET(CÁLCULO!$AJ$15:$BB$15,$E26,0,OFFSET(ORÇAMENTO!$D$15,CRONO!$E26,0)))+IF(AND($E28&lt;&gt;"",$E28&lt;&gt;0),SUMIF(CÁLCULO!$BC$15:$BU$58,"="&amp;CRONO!AA$12,CÁLCULO!$AJ$15:$BB$58)/(ORÇAMENTO!$X$15-CÁLCULO.TotalAdmLocal)*CRONO!$E28,0),AA27*$R26),SUMIF(OFFSET($R28,1,0,$Q26-2),($L26+1)&amp;"$",OFFSET(AA28,1,0,$Q26-2)))</f>
        <v>0</v>
      </c>
      <c r="AB28" s="258">
        <f ca="1">IF($Q26=2,IF(AND(ACOMPANHAMENTO="PLE",ISNUMBER($E26)),SUMIF((OFFSET(CÁLCULO!$BC$15:$BU$15,$E26,0,OFFSET(ORÇAMENTO!$D$15,CRONO!$E26,0))),"="&amp;CRONO!AB$12,OFFSET(CÁLCULO!$AJ$15:$BB$15,$E26,0,OFFSET(ORÇAMENTO!$D$15,CRONO!$E26,0)))+IF(AND($E28&lt;&gt;"",$E28&lt;&gt;0),SUMIF(CÁLCULO!$BC$15:$BU$58,"="&amp;CRONO!AB$12,CÁLCULO!$AJ$15:$BB$58)/(ORÇAMENTO!$X$15-CÁLCULO.TotalAdmLocal)*CRONO!$E28,0),AB27*$R26),SUMIF(OFFSET($R28,1,0,$Q26-2),($L26+1)&amp;"$",OFFSET(AB28,1,0,$Q26-2)))</f>
        <v>0</v>
      </c>
      <c r="AC28" s="258">
        <f ca="1">IF($Q26=2,IF(AND(ACOMPANHAMENTO="PLE",ISNUMBER($E26)),SUMIF((OFFSET(CÁLCULO!$BC$15:$BU$15,$E26,0,OFFSET(ORÇAMENTO!$D$15,CRONO!$E26,0))),"="&amp;CRONO!AC$12,OFFSET(CÁLCULO!$AJ$15:$BB$15,$E26,0,OFFSET(ORÇAMENTO!$D$15,CRONO!$E26,0)))+IF(AND($E28&lt;&gt;"",$E28&lt;&gt;0),SUMIF(CÁLCULO!$BC$15:$BU$58,"="&amp;CRONO!AC$12,CÁLCULO!$AJ$15:$BB$58)/(ORÇAMENTO!$X$15-CÁLCULO.TotalAdmLocal)*CRONO!$E28,0),AC27*$R26),SUMIF(OFFSET($R28,1,0,$Q26-2),($L26+1)&amp;"$",OFFSET(AC28,1,0,$Q26-2)))</f>
        <v>0</v>
      </c>
      <c r="AD28" s="258">
        <f ca="1">IF($Q26=2,IF(AND(ACOMPANHAMENTO="PLE",ISNUMBER($E26)),SUMIF((OFFSET(CÁLCULO!$BC$15:$BU$15,$E26,0,OFFSET(ORÇAMENTO!$D$15,CRONO!$E26,0))),"="&amp;CRONO!AD$12,OFFSET(CÁLCULO!$AJ$15:$BB$15,$E26,0,OFFSET(ORÇAMENTO!$D$15,CRONO!$E26,0)))+IF(AND($E28&lt;&gt;"",$E28&lt;&gt;0),SUMIF(CÁLCULO!$BC$15:$BU$58,"="&amp;CRONO!AD$12,CÁLCULO!$AJ$15:$BB$58)/(ORÇAMENTO!$X$15-CÁLCULO.TotalAdmLocal)*CRONO!$E28,0),AD27*$R26),SUMIF(OFFSET($R28,1,0,$Q26-2),($L26+1)&amp;"$",OFFSET(AD28,1,0,$Q26-2)))</f>
        <v>0</v>
      </c>
      <c r="AE28" s="263">
        <f ca="1">IF($Q26=2,IF(AND(ACOMPANHAMENTO="PLE",ISNUMBER($E26)),SUMIF((OFFSET(CÁLCULO!$BC$15:$BU$15,$E26,0,OFFSET(ORÇAMENTO!$D$15,CRONO!$E26,0))),"="&amp;CRONO!AE$12,OFFSET(CÁLCULO!$AJ$15:$BB$15,$E26,0,OFFSET(ORÇAMENTO!$D$15,CRONO!$E26,0)))+IF(AND($E28&lt;&gt;"",$E28&lt;&gt;0),SUMIF(CÁLCULO!$BC$15:$BU$58,"="&amp;CRONO!AE$12,CÁLCULO!$AJ$15:$BB$58)/(ORÇAMENTO!$X$15-CÁLCULO.TotalAdmLocal)*CRONO!$E28,0),AE27*$R26),SUMIF(OFFSET($R28,1,0,$Q26-2),($L26+1)&amp;"$",OFFSET(AE28,1,0,$Q26-2)))</f>
        <v>0</v>
      </c>
    </row>
    <row r="29" spans="1:32" x14ac:dyDescent="0.2">
      <c r="A29" s="239">
        <f t="shared" ref="A29" ca="1" si="38">OFFSET(A29,-3,0)+1</f>
        <v>6</v>
      </c>
      <c r="B29" s="239">
        <f ca="1">IF($Q29&lt;&gt;2,0,IF($R29=0,1,IF(E30&gt;0,OFFSET(QCI!$M$13,SUBSTITUTE(E30,".",""),0),OFFSET(ORÇAMENTO!$AA$15,CRONO!$E29,0))/$R29))</f>
        <v>1</v>
      </c>
      <c r="C29" s="239">
        <f ca="1">IF($Q29&lt;&gt;2,0,IF($R29=0,1,IF(E30&gt;0,OFFSET(QCI!$N$13,SUBSTITUTE(E30,".",""),0),OFFSET(ORÇAMENTO!$AB$15,CRONO!$E29,0))/$R29))</f>
        <v>1</v>
      </c>
      <c r="D29" s="242" t="e">
        <f ca="1">IF(AND($Q29=2,ACOMPANHAMENTO="BM"),D30,D31/$R29)</f>
        <v>#DIV/0!</v>
      </c>
      <c r="E29" s="239">
        <f ca="1">IF(A29&lt;=ORÇAMENTO.MáximoListaCrono,MATCH(A29,ORÇAMENTO.ListaCrono,0),NA())</f>
        <v>21</v>
      </c>
      <c r="F29" s="239" t="str">
        <f t="shared" ref="F29" ca="1" si="39">IF(AND($E30&lt;&gt;-1,$R29&gt;0),"F","")</f>
        <v/>
      </c>
      <c r="G29" s="243" t="str">
        <f ca="1">IF(OR(R29=0,R29=""),"Linha",IF(AND(OR(ACOMPANHAMENTO="PLE",$Q29&lt;&gt;2),$E30=0),"Linha",1-SUM(T29:AF29)))</f>
        <v>Linha</v>
      </c>
      <c r="H29" s="244" t="str">
        <f ca="1">IF($E30=0,OFFSET(ORÇAMENTO!O$15,$E29,0),IF($E30&lt;&gt;-1,OFFSET(QCI!$D$13,$E30,0),""))</f>
        <v>1.5.</v>
      </c>
      <c r="I29" s="245" t="str">
        <f ca="1">IF($E30=0,OFFSET(ORÇAMENTO!R$15,$E29,0),IF($E30&lt;&gt;-1,OFFSET(QCI!$G$13,$E30,0),""))</f>
        <v xml:space="preserve">PAVIMENTAÇÃO </v>
      </c>
      <c r="J29" s="245"/>
      <c r="K29" s="245"/>
      <c r="L29" s="246">
        <f ca="1">IF($E30=0,OFFSET(ORÇAMENTO!C$15,$E29,0),1)</f>
        <v>2</v>
      </c>
      <c r="M29" s="247">
        <f ca="1">IF($E30=-1,0,IF(M$13&lt;=$L29,IF(ISERROR(MATCH(M$13,OFFSET($L29,1,0,ROW($L$41)-ROW($L29)-1),0)),ROW($L$41)-ROW($L29)-1,MATCH(M$13,OFFSET($L29,1,0,ROW($L$41)-ROW($L29)-1),0)-1),0))</f>
        <v>11</v>
      </c>
      <c r="N29" s="247">
        <f ca="1">IF($E30=-1,0,IF(N$13&lt;=$L29,IF(ISERROR(MATCH(N$13,OFFSET($L29,1,0,ROW($L$41)-ROW($L29)-1),0)),ROW($L$41)-ROW($L29)-1,MATCH(N$13,OFFSET($L29,1,0,ROW($L$41)-ROW($L29)-1),0)-1),0))</f>
        <v>2</v>
      </c>
      <c r="O29" s="247">
        <f ca="1">IF($E30=-1,0,IF(O$13&lt;=$L29,IF(ISERROR(MATCH(O$13,OFFSET($L29,1,0,ROW($L$41)-ROW($L29)-1),0)),ROW($L$41)-ROW($L29)-1,MATCH(O$13,OFFSET($L29,1,0,ROW($L$41)-ROW($L29)-1),0)-1),0))</f>
        <v>0</v>
      </c>
      <c r="P29" s="247">
        <f ca="1">IF($E30=-1,0,IF(P$13&lt;=$L29,IF(ISERROR(MATCH(P$13,OFFSET($L29,1,0,ROW($L$41)-ROW($L29)-1),0)),ROW($L$41)-ROW($L29)-1,MATCH(P$13,OFFSET($L29,1,0,ROW($L$41)-ROW($L29)-1),0)-1),0))</f>
        <v>0</v>
      </c>
      <c r="Q29" s="247">
        <f t="shared" ref="Q29" ca="1" si="40">MIN(OFFSET(L29,0,1,,L29))</f>
        <v>2</v>
      </c>
      <c r="R29" s="248">
        <f ca="1">IF($E30=0,OFFSET(ORÇAMENTO!X$15,$E29,0),IF($E30&lt;&gt;-1,OFFSET(QCI!$O$13,$E30,0),""))</f>
        <v>0</v>
      </c>
      <c r="S29" s="249" t="s">
        <v>270</v>
      </c>
      <c r="T29" s="250" t="e">
        <f t="shared" ref="T29:AE29" ca="1" si="41">IF(AND($Q29=2,ACOMPANHAMENTO="BM"),T30,T31/$R29)</f>
        <v>#DIV/0!</v>
      </c>
      <c r="U29" s="242" t="e">
        <f t="shared" ca="1" si="41"/>
        <v>#DIV/0!</v>
      </c>
      <c r="V29" s="242" t="e">
        <f t="shared" ca="1" si="41"/>
        <v>#DIV/0!</v>
      </c>
      <c r="W29" s="242" t="e">
        <f t="shared" ca="1" si="41"/>
        <v>#DIV/0!</v>
      </c>
      <c r="X29" s="242" t="e">
        <f t="shared" ca="1" si="41"/>
        <v>#DIV/0!</v>
      </c>
      <c r="Y29" s="242" t="e">
        <f t="shared" ca="1" si="41"/>
        <v>#DIV/0!</v>
      </c>
      <c r="Z29" s="242" t="e">
        <f t="shared" ca="1" si="41"/>
        <v>#DIV/0!</v>
      </c>
      <c r="AA29" s="242" t="e">
        <f t="shared" ca="1" si="41"/>
        <v>#DIV/0!</v>
      </c>
      <c r="AB29" s="242" t="e">
        <f t="shared" ca="1" si="41"/>
        <v>#DIV/0!</v>
      </c>
      <c r="AC29" s="242" t="e">
        <f t="shared" ca="1" si="41"/>
        <v>#DIV/0!</v>
      </c>
      <c r="AD29" s="242" t="e">
        <f t="shared" ca="1" si="41"/>
        <v>#DIV/0!</v>
      </c>
      <c r="AE29" s="251" t="e">
        <f t="shared" ca="1" si="41"/>
        <v>#DIV/0!</v>
      </c>
    </row>
    <row r="30" spans="1:32" ht="12.75" customHeight="1" x14ac:dyDescent="0.2">
      <c r="D30" s="657"/>
      <c r="E30" s="239">
        <f ca="1">IF(ISERROR(E29),IF(1+COUNTIF($L$13:OFFSET(L29,-1,0),1)&lt;=MAX(QCI!$D$13:$D$15),1+COUNTIF($L$13:OFFSET(L29,-1,0),1),-1),0)</f>
        <v>0</v>
      </c>
      <c r="F30" s="239" t="str">
        <f t="shared" ref="F30" ca="1" si="42">IF(AND($E30&lt;&gt;-1,$R29&gt;0),"F","")</f>
        <v/>
      </c>
      <c r="G30" s="252" t="str">
        <f ca="1">IF(OR(R29=0,R29=""),"vazia",IF(AND(OR(ACOMPANHAMENTO="PLE",$Q29&lt;&gt;2),$E30=0),"calculada","--&gt;"))</f>
        <v>vazia</v>
      </c>
      <c r="H30" s="253"/>
      <c r="I30" s="254" t="str">
        <f t="shared" ref="I30" ca="1" si="43">IF(AND(G29&lt;&gt;0,ISNUMBER(G29)),"PREENCHA ESTA LINHA --&gt;","")</f>
        <v/>
      </c>
      <c r="J30" s="254"/>
      <c r="K30" s="254"/>
      <c r="L30" s="255"/>
      <c r="M30" s="255"/>
      <c r="N30" s="255"/>
      <c r="O30" s="255"/>
      <c r="P30" s="255"/>
      <c r="Q30" s="255"/>
      <c r="R30" s="256"/>
      <c r="S30" s="257"/>
      <c r="T30" s="658"/>
      <c r="U30" s="657"/>
      <c r="V30" s="657"/>
      <c r="W30" s="657"/>
      <c r="X30" s="657"/>
      <c r="Y30" s="657"/>
      <c r="Z30" s="657"/>
      <c r="AA30" s="657"/>
      <c r="AB30" s="657"/>
      <c r="AC30" s="657"/>
      <c r="AD30" s="657"/>
      <c r="AE30" s="659"/>
      <c r="AF30" s="618"/>
    </row>
    <row r="31" spans="1:32" ht="0.2" hidden="1" customHeight="1" x14ac:dyDescent="0.2">
      <c r="D31" s="258">
        <f ca="1">IF($Q29=2,IF(AND(ACOMPANHAMENTO="PLE",ISNUMBER($E29)),SUMIF((OFFSET(CÁLCULO!$BC$15:$BU$15,$E29,0,OFFSET(ORÇAMENTO!$D$15,CRONO!$E29,0))),"="&amp;CRONO!D$12,OFFSET(CÁLCULO!$AJ$15:$BB$15,$E29,0,OFFSET(ORÇAMENTO!$D$15,CRONO!$E29,0)))+IF(AND($E31&lt;&gt;"",$E31&lt;&gt;0),SUMIF(CÁLCULO!$BC$15:$BU$58,"="&amp;CRONO!D$12,CÁLCULO!$AJ$15:$BB$58)/(ORÇAMENTO!$X$15-CÁLCULO.TotalAdmLocal)*CRONO!$E31,0),D30*$R29),SUMIF(OFFSET($R31,1,0,$Q29-2),($L29+1)&amp;"$",OFFSET(D31,1,0,$Q29-2)))</f>
        <v>0</v>
      </c>
      <c r="E31" s="239" t="str">
        <f ca="1">IF(OR($Q29&lt;&gt;2,AUTOEVENTO&lt;&gt;"manual",$E30&gt;0),"",SUMIF(OFFSET(CÁLCULO!$M$15,CRONO!$E29,0,OFFSET(ORÇAMENTO!$D$15,CRONO!$E29,0)),1,OFFSET(ORÇAMENTO!$X$15,CRONO!$E29,0,OFFSET(ORÇAMENTO!$D$15,CRONO!$E29,0))))</f>
        <v/>
      </c>
      <c r="G31" s="259"/>
      <c r="R31" s="260" t="str">
        <f t="shared" ref="R31" ca="1" si="44">L29&amp;"$"</f>
        <v>2$</v>
      </c>
      <c r="S31" s="261"/>
      <c r="T31" s="262">
        <f ca="1">IF($Q29=2,IF(AND(ACOMPANHAMENTO="PLE",ISNUMBER($E29)),SUMIF((OFFSET(CÁLCULO!$BC$15:$BU$15,$E29,0,OFFSET(ORÇAMENTO!$D$15,CRONO!$E29,0))),"&lt;="&amp;CRONO!T$12,OFFSET(CÁLCULO!$AJ$15:$BB$15,$E29,0,OFFSET(ORÇAMENTO!$D$15,CRONO!$E29,0)))+IF(AND($E31&lt;&gt;"",$E31&lt;&gt;0),SUMIF(CÁLCULO!$BC$15:$BU$58,"&lt;="&amp;CRONO!T$12,CÁLCULO!$AJ$15:$BB$58)/(ORÇAMENTO!$X$15-CÁLCULO.TotalAdmLocal)*CRONO!$E31,0),T30*$R29),SUMIF(OFFSET($R31,1,0,$Q29-2),($L29+1)&amp;"$",OFFSET(T31,1,0,$Q29-2)))</f>
        <v>0</v>
      </c>
      <c r="U31" s="258">
        <f ca="1">IF($Q29=2,IF(AND(ACOMPANHAMENTO="PLE",ISNUMBER($E29)),SUMIF((OFFSET(CÁLCULO!$BC$15:$BU$15,$E29,0,OFFSET(ORÇAMENTO!$D$15,CRONO!$E29,0))),"="&amp;CRONO!U$12,OFFSET(CÁLCULO!$AJ$15:$BB$15,$E29,0,OFFSET(ORÇAMENTO!$D$15,CRONO!$E29,0)))+IF(AND($E31&lt;&gt;"",$E31&lt;&gt;0),SUMIF(CÁLCULO!$BC$15:$BU$58,"="&amp;CRONO!U$12,CÁLCULO!$AJ$15:$BB$58)/(ORÇAMENTO!$X$15-CÁLCULO.TotalAdmLocal)*CRONO!$E31,0),U30*$R29),SUMIF(OFFSET($R31,1,0,$Q29-2),($L29+1)&amp;"$",OFFSET(U31,1,0,$Q29-2)))</f>
        <v>0</v>
      </c>
      <c r="V31" s="258">
        <f ca="1">IF($Q29=2,IF(AND(ACOMPANHAMENTO="PLE",ISNUMBER($E29)),SUMIF((OFFSET(CÁLCULO!$BC$15:$BU$15,$E29,0,OFFSET(ORÇAMENTO!$D$15,CRONO!$E29,0))),"="&amp;CRONO!V$12,OFFSET(CÁLCULO!$AJ$15:$BB$15,$E29,0,OFFSET(ORÇAMENTO!$D$15,CRONO!$E29,0)))+IF(AND($E31&lt;&gt;"",$E31&lt;&gt;0),SUMIF(CÁLCULO!$BC$15:$BU$58,"="&amp;CRONO!V$12,CÁLCULO!$AJ$15:$BB$58)/(ORÇAMENTO!$X$15-CÁLCULO.TotalAdmLocal)*CRONO!$E31,0),V30*$R29),SUMIF(OFFSET($R31,1,0,$Q29-2),($L29+1)&amp;"$",OFFSET(V31,1,0,$Q29-2)))</f>
        <v>0</v>
      </c>
      <c r="W31" s="258">
        <f ca="1">IF($Q29=2,IF(AND(ACOMPANHAMENTO="PLE",ISNUMBER($E29)),SUMIF((OFFSET(CÁLCULO!$BC$15:$BU$15,$E29,0,OFFSET(ORÇAMENTO!$D$15,CRONO!$E29,0))),"="&amp;CRONO!W$12,OFFSET(CÁLCULO!$AJ$15:$BB$15,$E29,0,OFFSET(ORÇAMENTO!$D$15,CRONO!$E29,0)))+IF(AND($E31&lt;&gt;"",$E31&lt;&gt;0),SUMIF(CÁLCULO!$BC$15:$BU$58,"="&amp;CRONO!W$12,CÁLCULO!$AJ$15:$BB$58)/(ORÇAMENTO!$X$15-CÁLCULO.TotalAdmLocal)*CRONO!$E31,0),W30*$R29),SUMIF(OFFSET($R31,1,0,$Q29-2),($L29+1)&amp;"$",OFFSET(W31,1,0,$Q29-2)))</f>
        <v>0</v>
      </c>
      <c r="X31" s="258">
        <f ca="1">IF($Q29=2,IF(AND(ACOMPANHAMENTO="PLE",ISNUMBER($E29)),SUMIF((OFFSET(CÁLCULO!$BC$15:$BU$15,$E29,0,OFFSET(ORÇAMENTO!$D$15,CRONO!$E29,0))),"="&amp;CRONO!X$12,OFFSET(CÁLCULO!$AJ$15:$BB$15,$E29,0,OFFSET(ORÇAMENTO!$D$15,CRONO!$E29,0)))+IF(AND($E31&lt;&gt;"",$E31&lt;&gt;0),SUMIF(CÁLCULO!$BC$15:$BU$58,"="&amp;CRONO!X$12,CÁLCULO!$AJ$15:$BB$58)/(ORÇAMENTO!$X$15-CÁLCULO.TotalAdmLocal)*CRONO!$E31,0),X30*$R29),SUMIF(OFFSET($R31,1,0,$Q29-2),($L29+1)&amp;"$",OFFSET(X31,1,0,$Q29-2)))</f>
        <v>0</v>
      </c>
      <c r="Y31" s="258">
        <f ca="1">IF($Q29=2,IF(AND(ACOMPANHAMENTO="PLE",ISNUMBER($E29)),SUMIF((OFFSET(CÁLCULO!$BC$15:$BU$15,$E29,0,OFFSET(ORÇAMENTO!$D$15,CRONO!$E29,0))),"="&amp;CRONO!Y$12,OFFSET(CÁLCULO!$AJ$15:$BB$15,$E29,0,OFFSET(ORÇAMENTO!$D$15,CRONO!$E29,0)))+IF(AND($E31&lt;&gt;"",$E31&lt;&gt;0),SUMIF(CÁLCULO!$BC$15:$BU$58,"="&amp;CRONO!Y$12,CÁLCULO!$AJ$15:$BB$58)/(ORÇAMENTO!$X$15-CÁLCULO.TotalAdmLocal)*CRONO!$E31,0),Y30*$R29),SUMIF(OFFSET($R31,1,0,$Q29-2),($L29+1)&amp;"$",OFFSET(Y31,1,0,$Q29-2)))</f>
        <v>0</v>
      </c>
      <c r="Z31" s="258">
        <f ca="1">IF($Q29=2,IF(AND(ACOMPANHAMENTO="PLE",ISNUMBER($E29)),SUMIF((OFFSET(CÁLCULO!$BC$15:$BU$15,$E29,0,OFFSET(ORÇAMENTO!$D$15,CRONO!$E29,0))),"="&amp;CRONO!Z$12,OFFSET(CÁLCULO!$AJ$15:$BB$15,$E29,0,OFFSET(ORÇAMENTO!$D$15,CRONO!$E29,0)))+IF(AND($E31&lt;&gt;"",$E31&lt;&gt;0),SUMIF(CÁLCULO!$BC$15:$BU$58,"="&amp;CRONO!Z$12,CÁLCULO!$AJ$15:$BB$58)/(ORÇAMENTO!$X$15-CÁLCULO.TotalAdmLocal)*CRONO!$E31,0),Z30*$R29),SUMIF(OFFSET($R31,1,0,$Q29-2),($L29+1)&amp;"$",OFFSET(Z31,1,0,$Q29-2)))</f>
        <v>0</v>
      </c>
      <c r="AA31" s="258">
        <f ca="1">IF($Q29=2,IF(AND(ACOMPANHAMENTO="PLE",ISNUMBER($E29)),SUMIF((OFFSET(CÁLCULO!$BC$15:$BU$15,$E29,0,OFFSET(ORÇAMENTO!$D$15,CRONO!$E29,0))),"="&amp;CRONO!AA$12,OFFSET(CÁLCULO!$AJ$15:$BB$15,$E29,0,OFFSET(ORÇAMENTO!$D$15,CRONO!$E29,0)))+IF(AND($E31&lt;&gt;"",$E31&lt;&gt;0),SUMIF(CÁLCULO!$BC$15:$BU$58,"="&amp;CRONO!AA$12,CÁLCULO!$AJ$15:$BB$58)/(ORÇAMENTO!$X$15-CÁLCULO.TotalAdmLocal)*CRONO!$E31,0),AA30*$R29),SUMIF(OFFSET($R31,1,0,$Q29-2),($L29+1)&amp;"$",OFFSET(AA31,1,0,$Q29-2)))</f>
        <v>0</v>
      </c>
      <c r="AB31" s="258">
        <f ca="1">IF($Q29=2,IF(AND(ACOMPANHAMENTO="PLE",ISNUMBER($E29)),SUMIF((OFFSET(CÁLCULO!$BC$15:$BU$15,$E29,0,OFFSET(ORÇAMENTO!$D$15,CRONO!$E29,0))),"="&amp;CRONO!AB$12,OFFSET(CÁLCULO!$AJ$15:$BB$15,$E29,0,OFFSET(ORÇAMENTO!$D$15,CRONO!$E29,0)))+IF(AND($E31&lt;&gt;"",$E31&lt;&gt;0),SUMIF(CÁLCULO!$BC$15:$BU$58,"="&amp;CRONO!AB$12,CÁLCULO!$AJ$15:$BB$58)/(ORÇAMENTO!$X$15-CÁLCULO.TotalAdmLocal)*CRONO!$E31,0),AB30*$R29),SUMIF(OFFSET($R31,1,0,$Q29-2),($L29+1)&amp;"$",OFFSET(AB31,1,0,$Q29-2)))</f>
        <v>0</v>
      </c>
      <c r="AC31" s="258">
        <f ca="1">IF($Q29=2,IF(AND(ACOMPANHAMENTO="PLE",ISNUMBER($E29)),SUMIF((OFFSET(CÁLCULO!$BC$15:$BU$15,$E29,0,OFFSET(ORÇAMENTO!$D$15,CRONO!$E29,0))),"="&amp;CRONO!AC$12,OFFSET(CÁLCULO!$AJ$15:$BB$15,$E29,0,OFFSET(ORÇAMENTO!$D$15,CRONO!$E29,0)))+IF(AND($E31&lt;&gt;"",$E31&lt;&gt;0),SUMIF(CÁLCULO!$BC$15:$BU$58,"="&amp;CRONO!AC$12,CÁLCULO!$AJ$15:$BB$58)/(ORÇAMENTO!$X$15-CÁLCULO.TotalAdmLocal)*CRONO!$E31,0),AC30*$R29),SUMIF(OFFSET($R31,1,0,$Q29-2),($L29+1)&amp;"$",OFFSET(AC31,1,0,$Q29-2)))</f>
        <v>0</v>
      </c>
      <c r="AD31" s="258">
        <f ca="1">IF($Q29=2,IF(AND(ACOMPANHAMENTO="PLE",ISNUMBER($E29)),SUMIF((OFFSET(CÁLCULO!$BC$15:$BU$15,$E29,0,OFFSET(ORÇAMENTO!$D$15,CRONO!$E29,0))),"="&amp;CRONO!AD$12,OFFSET(CÁLCULO!$AJ$15:$BB$15,$E29,0,OFFSET(ORÇAMENTO!$D$15,CRONO!$E29,0)))+IF(AND($E31&lt;&gt;"",$E31&lt;&gt;0),SUMIF(CÁLCULO!$BC$15:$BU$58,"="&amp;CRONO!AD$12,CÁLCULO!$AJ$15:$BB$58)/(ORÇAMENTO!$X$15-CÁLCULO.TotalAdmLocal)*CRONO!$E31,0),AD30*$R29),SUMIF(OFFSET($R31,1,0,$Q29-2),($L29+1)&amp;"$",OFFSET(AD31,1,0,$Q29-2)))</f>
        <v>0</v>
      </c>
      <c r="AE31" s="263">
        <f ca="1">IF($Q29=2,IF(AND(ACOMPANHAMENTO="PLE",ISNUMBER($E29)),SUMIF((OFFSET(CÁLCULO!$BC$15:$BU$15,$E29,0,OFFSET(ORÇAMENTO!$D$15,CRONO!$E29,0))),"="&amp;CRONO!AE$12,OFFSET(CÁLCULO!$AJ$15:$BB$15,$E29,0,OFFSET(ORÇAMENTO!$D$15,CRONO!$E29,0)))+IF(AND($E31&lt;&gt;"",$E31&lt;&gt;0),SUMIF(CÁLCULO!$BC$15:$BU$58,"="&amp;CRONO!AE$12,CÁLCULO!$AJ$15:$BB$58)/(ORÇAMENTO!$X$15-CÁLCULO.TotalAdmLocal)*CRONO!$E31,0),AE30*$R29),SUMIF(OFFSET($R31,1,0,$Q29-2),($L29+1)&amp;"$",OFFSET(AE31,1,0,$Q29-2)))</f>
        <v>0</v>
      </c>
    </row>
    <row r="32" spans="1:32" x14ac:dyDescent="0.2">
      <c r="A32" s="239">
        <f t="shared" ref="A32" ca="1" si="45">OFFSET(A32,-3,0)+1</f>
        <v>7</v>
      </c>
      <c r="B32" s="239">
        <f ca="1">IF($Q32&lt;&gt;2,0,IF($R32=0,1,IF(E33&gt;0,OFFSET(QCI!$M$13,SUBSTITUTE(E33,".",""),0),OFFSET(ORÇAMENTO!$AA$15,CRONO!$E32,0))/$R32))</f>
        <v>1</v>
      </c>
      <c r="C32" s="239">
        <f ca="1">IF($Q32&lt;&gt;2,0,IF($R32=0,1,IF(E33&gt;0,OFFSET(QCI!$N$13,SUBSTITUTE(E33,".",""),0),OFFSET(ORÇAMENTO!$AB$15,CRONO!$E32,0))/$R32))</f>
        <v>1</v>
      </c>
      <c r="D32" s="242" t="e">
        <f ca="1">IF(AND($Q32=2,ACOMPANHAMENTO="BM"),D33,D34/$R32)</f>
        <v>#DIV/0!</v>
      </c>
      <c r="E32" s="239">
        <f ca="1">IF(A32&lt;=ORÇAMENTO.MáximoListaCrono,MATCH(A32,ORÇAMENTO.ListaCrono,0),NA())</f>
        <v>24</v>
      </c>
      <c r="F32" s="239" t="str">
        <f t="shared" ref="F32" ca="1" si="46">IF(AND($E33&lt;&gt;-1,$R32&gt;0),"F","")</f>
        <v/>
      </c>
      <c r="G32" s="243" t="str">
        <f ca="1">IF(OR(R32=0,R32=""),"Linha",IF(AND(OR(ACOMPANHAMENTO="PLE",$Q32&lt;&gt;2),$E33=0),"Linha",1-SUM(T32:AF32)))</f>
        <v>Linha</v>
      </c>
      <c r="H32" s="244" t="str">
        <f ca="1">IF($E33=0,OFFSET(ORÇAMENTO!O$15,$E32,0),IF($E33&lt;&gt;-1,OFFSET(QCI!$D$13,$E33,0),""))</f>
        <v>1.6.</v>
      </c>
      <c r="I32" s="245" t="str">
        <f ca="1">IF($E33=0,OFFSET(ORÇAMENTO!R$15,$E32,0),IF($E33&lt;&gt;-1,OFFSET(QCI!$G$13,$E33,0),""))</f>
        <v xml:space="preserve">MEIO-FIO E DRENAGEM </v>
      </c>
      <c r="J32" s="245"/>
      <c r="K32" s="245"/>
      <c r="L32" s="246">
        <f ca="1">IF($E33=0,OFFSET(ORÇAMENTO!C$15,$E32,0),1)</f>
        <v>2</v>
      </c>
      <c r="M32" s="247">
        <f ca="1">IF($E33=-1,0,IF(M$13&lt;=$L32,IF(ISERROR(MATCH(M$13,OFFSET($L32,1,0,ROW($L$41)-ROW($L32)-1),0)),ROW($L$41)-ROW($L32)-1,MATCH(M$13,OFFSET($L32,1,0,ROW($L$41)-ROW($L32)-1),0)-1),0))</f>
        <v>8</v>
      </c>
      <c r="N32" s="247">
        <f ca="1">IF($E33=-1,0,IF(N$13&lt;=$L32,IF(ISERROR(MATCH(N$13,OFFSET($L32,1,0,ROW($L$41)-ROW($L32)-1),0)),ROW($L$41)-ROW($L32)-1,MATCH(N$13,OFFSET($L32,1,0,ROW($L$41)-ROW($L32)-1),0)-1),0))</f>
        <v>2</v>
      </c>
      <c r="O32" s="247">
        <f ca="1">IF($E33=-1,0,IF(O$13&lt;=$L32,IF(ISERROR(MATCH(O$13,OFFSET($L32,1,0,ROW($L$41)-ROW($L32)-1),0)),ROW($L$41)-ROW($L32)-1,MATCH(O$13,OFFSET($L32,1,0,ROW($L$41)-ROW($L32)-1),0)-1),0))</f>
        <v>0</v>
      </c>
      <c r="P32" s="247">
        <f ca="1">IF($E33=-1,0,IF(P$13&lt;=$L32,IF(ISERROR(MATCH(P$13,OFFSET($L32,1,0,ROW($L$41)-ROW($L32)-1),0)),ROW($L$41)-ROW($L32)-1,MATCH(P$13,OFFSET($L32,1,0,ROW($L$41)-ROW($L32)-1),0)-1),0))</f>
        <v>0</v>
      </c>
      <c r="Q32" s="247">
        <f t="shared" ref="Q32" ca="1" si="47">MIN(OFFSET(L32,0,1,,L32))</f>
        <v>2</v>
      </c>
      <c r="R32" s="248">
        <f ca="1">IF($E33=0,OFFSET(ORÇAMENTO!X$15,$E32,0),IF($E33&lt;&gt;-1,OFFSET(QCI!$O$13,$E33,0),""))</f>
        <v>0</v>
      </c>
      <c r="S32" s="249" t="s">
        <v>270</v>
      </c>
      <c r="T32" s="250" t="e">
        <f t="shared" ref="T32:AE32" ca="1" si="48">IF(AND($Q32=2,ACOMPANHAMENTO="BM"),T33,T34/$R32)</f>
        <v>#DIV/0!</v>
      </c>
      <c r="U32" s="242" t="e">
        <f t="shared" ca="1" si="48"/>
        <v>#DIV/0!</v>
      </c>
      <c r="V32" s="242" t="e">
        <f t="shared" ca="1" si="48"/>
        <v>#DIV/0!</v>
      </c>
      <c r="W32" s="242" t="e">
        <f t="shared" ca="1" si="48"/>
        <v>#DIV/0!</v>
      </c>
      <c r="X32" s="242" t="e">
        <f t="shared" ca="1" si="48"/>
        <v>#DIV/0!</v>
      </c>
      <c r="Y32" s="242" t="e">
        <f t="shared" ca="1" si="48"/>
        <v>#DIV/0!</v>
      </c>
      <c r="Z32" s="242" t="e">
        <f t="shared" ca="1" si="48"/>
        <v>#DIV/0!</v>
      </c>
      <c r="AA32" s="242" t="e">
        <f t="shared" ca="1" si="48"/>
        <v>#DIV/0!</v>
      </c>
      <c r="AB32" s="242" t="e">
        <f t="shared" ca="1" si="48"/>
        <v>#DIV/0!</v>
      </c>
      <c r="AC32" s="242" t="e">
        <f t="shared" ca="1" si="48"/>
        <v>#DIV/0!</v>
      </c>
      <c r="AD32" s="242" t="e">
        <f t="shared" ca="1" si="48"/>
        <v>#DIV/0!</v>
      </c>
      <c r="AE32" s="251" t="e">
        <f t="shared" ca="1" si="48"/>
        <v>#DIV/0!</v>
      </c>
    </row>
    <row r="33" spans="1:32" ht="12.75" customHeight="1" x14ac:dyDescent="0.2">
      <c r="D33" s="657"/>
      <c r="E33" s="239">
        <f ca="1">IF(ISERROR(E32),IF(1+COUNTIF($L$13:OFFSET(L32,-1,0),1)&lt;=MAX(QCI!$D$13:$D$15),1+COUNTIF($L$13:OFFSET(L32,-1,0),1),-1),0)</f>
        <v>0</v>
      </c>
      <c r="F33" s="239" t="str">
        <f t="shared" ref="F33" ca="1" si="49">IF(AND($E33&lt;&gt;-1,$R32&gt;0),"F","")</f>
        <v/>
      </c>
      <c r="G33" s="252" t="str">
        <f ca="1">IF(OR(R32=0,R32=""),"vazia",IF(AND(OR(ACOMPANHAMENTO="PLE",$Q32&lt;&gt;2),$E33=0),"calculada","--&gt;"))</f>
        <v>vazia</v>
      </c>
      <c r="H33" s="253"/>
      <c r="I33" s="254" t="str">
        <f t="shared" ref="I33" ca="1" si="50">IF(AND(G32&lt;&gt;0,ISNUMBER(G32)),"PREENCHA ESTA LINHA --&gt;","")</f>
        <v/>
      </c>
      <c r="J33" s="254"/>
      <c r="K33" s="254"/>
      <c r="L33" s="255"/>
      <c r="M33" s="255"/>
      <c r="N33" s="255"/>
      <c r="O33" s="255"/>
      <c r="P33" s="255"/>
      <c r="Q33" s="255"/>
      <c r="R33" s="256"/>
      <c r="S33" s="257"/>
      <c r="T33" s="658"/>
      <c r="U33" s="657"/>
      <c r="V33" s="657"/>
      <c r="W33" s="657"/>
      <c r="X33" s="657"/>
      <c r="Y33" s="657"/>
      <c r="Z33" s="657"/>
      <c r="AA33" s="657"/>
      <c r="AB33" s="657"/>
      <c r="AC33" s="657"/>
      <c r="AD33" s="657"/>
      <c r="AE33" s="659"/>
      <c r="AF33" s="618"/>
    </row>
    <row r="34" spans="1:32" ht="0.2" hidden="1" customHeight="1" x14ac:dyDescent="0.2">
      <c r="D34" s="258">
        <f ca="1">IF($Q32=2,IF(AND(ACOMPANHAMENTO="PLE",ISNUMBER($E32)),SUMIF((OFFSET(CÁLCULO!$BC$15:$BU$15,$E32,0,OFFSET(ORÇAMENTO!$D$15,CRONO!$E32,0))),"="&amp;CRONO!D$12,OFFSET(CÁLCULO!$AJ$15:$BB$15,$E32,0,OFFSET(ORÇAMENTO!$D$15,CRONO!$E32,0)))+IF(AND($E34&lt;&gt;"",$E34&lt;&gt;0),SUMIF(CÁLCULO!$BC$15:$BU$58,"="&amp;CRONO!D$12,CÁLCULO!$AJ$15:$BB$58)/(ORÇAMENTO!$X$15-CÁLCULO.TotalAdmLocal)*CRONO!$E34,0),D33*$R32),SUMIF(OFFSET($R34,1,0,$Q32-2),($L32+1)&amp;"$",OFFSET(D34,1,0,$Q32-2)))</f>
        <v>0</v>
      </c>
      <c r="E34" s="239" t="str">
        <f ca="1">IF(OR($Q32&lt;&gt;2,AUTOEVENTO&lt;&gt;"manual",$E33&gt;0),"",SUMIF(OFFSET(CÁLCULO!$M$15,CRONO!$E32,0,OFFSET(ORÇAMENTO!$D$15,CRONO!$E32,0)),1,OFFSET(ORÇAMENTO!$X$15,CRONO!$E32,0,OFFSET(ORÇAMENTO!$D$15,CRONO!$E32,0))))</f>
        <v/>
      </c>
      <c r="G34" s="259"/>
      <c r="R34" s="260" t="str">
        <f t="shared" ref="R34" ca="1" si="51">L32&amp;"$"</f>
        <v>2$</v>
      </c>
      <c r="S34" s="261"/>
      <c r="T34" s="262">
        <f ca="1">IF($Q32=2,IF(AND(ACOMPANHAMENTO="PLE",ISNUMBER($E32)),SUMIF((OFFSET(CÁLCULO!$BC$15:$BU$15,$E32,0,OFFSET(ORÇAMENTO!$D$15,CRONO!$E32,0))),"&lt;="&amp;CRONO!T$12,OFFSET(CÁLCULO!$AJ$15:$BB$15,$E32,0,OFFSET(ORÇAMENTO!$D$15,CRONO!$E32,0)))+IF(AND($E34&lt;&gt;"",$E34&lt;&gt;0),SUMIF(CÁLCULO!$BC$15:$BU$58,"&lt;="&amp;CRONO!T$12,CÁLCULO!$AJ$15:$BB$58)/(ORÇAMENTO!$X$15-CÁLCULO.TotalAdmLocal)*CRONO!$E34,0),T33*$R32),SUMIF(OFFSET($R34,1,0,$Q32-2),($L32+1)&amp;"$",OFFSET(T34,1,0,$Q32-2)))</f>
        <v>0</v>
      </c>
      <c r="U34" s="258">
        <f ca="1">IF($Q32=2,IF(AND(ACOMPANHAMENTO="PLE",ISNUMBER($E32)),SUMIF((OFFSET(CÁLCULO!$BC$15:$BU$15,$E32,0,OFFSET(ORÇAMENTO!$D$15,CRONO!$E32,0))),"="&amp;CRONO!U$12,OFFSET(CÁLCULO!$AJ$15:$BB$15,$E32,0,OFFSET(ORÇAMENTO!$D$15,CRONO!$E32,0)))+IF(AND($E34&lt;&gt;"",$E34&lt;&gt;0),SUMIF(CÁLCULO!$BC$15:$BU$58,"="&amp;CRONO!U$12,CÁLCULO!$AJ$15:$BB$58)/(ORÇAMENTO!$X$15-CÁLCULO.TotalAdmLocal)*CRONO!$E34,0),U33*$R32),SUMIF(OFFSET($R34,1,0,$Q32-2),($L32+1)&amp;"$",OFFSET(U34,1,0,$Q32-2)))</f>
        <v>0</v>
      </c>
      <c r="V34" s="258">
        <f ca="1">IF($Q32=2,IF(AND(ACOMPANHAMENTO="PLE",ISNUMBER($E32)),SUMIF((OFFSET(CÁLCULO!$BC$15:$BU$15,$E32,0,OFFSET(ORÇAMENTO!$D$15,CRONO!$E32,0))),"="&amp;CRONO!V$12,OFFSET(CÁLCULO!$AJ$15:$BB$15,$E32,0,OFFSET(ORÇAMENTO!$D$15,CRONO!$E32,0)))+IF(AND($E34&lt;&gt;"",$E34&lt;&gt;0),SUMIF(CÁLCULO!$BC$15:$BU$58,"="&amp;CRONO!V$12,CÁLCULO!$AJ$15:$BB$58)/(ORÇAMENTO!$X$15-CÁLCULO.TotalAdmLocal)*CRONO!$E34,0),V33*$R32),SUMIF(OFFSET($R34,1,0,$Q32-2),($L32+1)&amp;"$",OFFSET(V34,1,0,$Q32-2)))</f>
        <v>0</v>
      </c>
      <c r="W34" s="258">
        <f ca="1">IF($Q32=2,IF(AND(ACOMPANHAMENTO="PLE",ISNUMBER($E32)),SUMIF((OFFSET(CÁLCULO!$BC$15:$BU$15,$E32,0,OFFSET(ORÇAMENTO!$D$15,CRONO!$E32,0))),"="&amp;CRONO!W$12,OFFSET(CÁLCULO!$AJ$15:$BB$15,$E32,0,OFFSET(ORÇAMENTO!$D$15,CRONO!$E32,0)))+IF(AND($E34&lt;&gt;"",$E34&lt;&gt;0),SUMIF(CÁLCULO!$BC$15:$BU$58,"="&amp;CRONO!W$12,CÁLCULO!$AJ$15:$BB$58)/(ORÇAMENTO!$X$15-CÁLCULO.TotalAdmLocal)*CRONO!$E34,0),W33*$R32),SUMIF(OFFSET($R34,1,0,$Q32-2),($L32+1)&amp;"$",OFFSET(W34,1,0,$Q32-2)))</f>
        <v>0</v>
      </c>
      <c r="X34" s="258">
        <f ca="1">IF($Q32=2,IF(AND(ACOMPANHAMENTO="PLE",ISNUMBER($E32)),SUMIF((OFFSET(CÁLCULO!$BC$15:$BU$15,$E32,0,OFFSET(ORÇAMENTO!$D$15,CRONO!$E32,0))),"="&amp;CRONO!X$12,OFFSET(CÁLCULO!$AJ$15:$BB$15,$E32,0,OFFSET(ORÇAMENTO!$D$15,CRONO!$E32,0)))+IF(AND($E34&lt;&gt;"",$E34&lt;&gt;0),SUMIF(CÁLCULO!$BC$15:$BU$58,"="&amp;CRONO!X$12,CÁLCULO!$AJ$15:$BB$58)/(ORÇAMENTO!$X$15-CÁLCULO.TotalAdmLocal)*CRONO!$E34,0),X33*$R32),SUMIF(OFFSET($R34,1,0,$Q32-2),($L32+1)&amp;"$",OFFSET(X34,1,0,$Q32-2)))</f>
        <v>0</v>
      </c>
      <c r="Y34" s="258">
        <f ca="1">IF($Q32=2,IF(AND(ACOMPANHAMENTO="PLE",ISNUMBER($E32)),SUMIF((OFFSET(CÁLCULO!$BC$15:$BU$15,$E32,0,OFFSET(ORÇAMENTO!$D$15,CRONO!$E32,0))),"="&amp;CRONO!Y$12,OFFSET(CÁLCULO!$AJ$15:$BB$15,$E32,0,OFFSET(ORÇAMENTO!$D$15,CRONO!$E32,0)))+IF(AND($E34&lt;&gt;"",$E34&lt;&gt;0),SUMIF(CÁLCULO!$BC$15:$BU$58,"="&amp;CRONO!Y$12,CÁLCULO!$AJ$15:$BB$58)/(ORÇAMENTO!$X$15-CÁLCULO.TotalAdmLocal)*CRONO!$E34,0),Y33*$R32),SUMIF(OFFSET($R34,1,0,$Q32-2),($L32+1)&amp;"$",OFFSET(Y34,1,0,$Q32-2)))</f>
        <v>0</v>
      </c>
      <c r="Z34" s="258">
        <f ca="1">IF($Q32=2,IF(AND(ACOMPANHAMENTO="PLE",ISNUMBER($E32)),SUMIF((OFFSET(CÁLCULO!$BC$15:$BU$15,$E32,0,OFFSET(ORÇAMENTO!$D$15,CRONO!$E32,0))),"="&amp;CRONO!Z$12,OFFSET(CÁLCULO!$AJ$15:$BB$15,$E32,0,OFFSET(ORÇAMENTO!$D$15,CRONO!$E32,0)))+IF(AND($E34&lt;&gt;"",$E34&lt;&gt;0),SUMIF(CÁLCULO!$BC$15:$BU$58,"="&amp;CRONO!Z$12,CÁLCULO!$AJ$15:$BB$58)/(ORÇAMENTO!$X$15-CÁLCULO.TotalAdmLocal)*CRONO!$E34,0),Z33*$R32),SUMIF(OFFSET($R34,1,0,$Q32-2),($L32+1)&amp;"$",OFFSET(Z34,1,0,$Q32-2)))</f>
        <v>0</v>
      </c>
      <c r="AA34" s="258">
        <f ca="1">IF($Q32=2,IF(AND(ACOMPANHAMENTO="PLE",ISNUMBER($E32)),SUMIF((OFFSET(CÁLCULO!$BC$15:$BU$15,$E32,0,OFFSET(ORÇAMENTO!$D$15,CRONO!$E32,0))),"="&amp;CRONO!AA$12,OFFSET(CÁLCULO!$AJ$15:$BB$15,$E32,0,OFFSET(ORÇAMENTO!$D$15,CRONO!$E32,0)))+IF(AND($E34&lt;&gt;"",$E34&lt;&gt;0),SUMIF(CÁLCULO!$BC$15:$BU$58,"="&amp;CRONO!AA$12,CÁLCULO!$AJ$15:$BB$58)/(ORÇAMENTO!$X$15-CÁLCULO.TotalAdmLocal)*CRONO!$E34,0),AA33*$R32),SUMIF(OFFSET($R34,1,0,$Q32-2),($L32+1)&amp;"$",OFFSET(AA34,1,0,$Q32-2)))</f>
        <v>0</v>
      </c>
      <c r="AB34" s="258">
        <f ca="1">IF($Q32=2,IF(AND(ACOMPANHAMENTO="PLE",ISNUMBER($E32)),SUMIF((OFFSET(CÁLCULO!$BC$15:$BU$15,$E32,0,OFFSET(ORÇAMENTO!$D$15,CRONO!$E32,0))),"="&amp;CRONO!AB$12,OFFSET(CÁLCULO!$AJ$15:$BB$15,$E32,0,OFFSET(ORÇAMENTO!$D$15,CRONO!$E32,0)))+IF(AND($E34&lt;&gt;"",$E34&lt;&gt;0),SUMIF(CÁLCULO!$BC$15:$BU$58,"="&amp;CRONO!AB$12,CÁLCULO!$AJ$15:$BB$58)/(ORÇAMENTO!$X$15-CÁLCULO.TotalAdmLocal)*CRONO!$E34,0),AB33*$R32),SUMIF(OFFSET($R34,1,0,$Q32-2),($L32+1)&amp;"$",OFFSET(AB34,1,0,$Q32-2)))</f>
        <v>0</v>
      </c>
      <c r="AC34" s="258">
        <f ca="1">IF($Q32=2,IF(AND(ACOMPANHAMENTO="PLE",ISNUMBER($E32)),SUMIF((OFFSET(CÁLCULO!$BC$15:$BU$15,$E32,0,OFFSET(ORÇAMENTO!$D$15,CRONO!$E32,0))),"="&amp;CRONO!AC$12,OFFSET(CÁLCULO!$AJ$15:$BB$15,$E32,0,OFFSET(ORÇAMENTO!$D$15,CRONO!$E32,0)))+IF(AND($E34&lt;&gt;"",$E34&lt;&gt;0),SUMIF(CÁLCULO!$BC$15:$BU$58,"="&amp;CRONO!AC$12,CÁLCULO!$AJ$15:$BB$58)/(ORÇAMENTO!$X$15-CÁLCULO.TotalAdmLocal)*CRONO!$E34,0),AC33*$R32),SUMIF(OFFSET($R34,1,0,$Q32-2),($L32+1)&amp;"$",OFFSET(AC34,1,0,$Q32-2)))</f>
        <v>0</v>
      </c>
      <c r="AD34" s="258">
        <f ca="1">IF($Q32=2,IF(AND(ACOMPANHAMENTO="PLE",ISNUMBER($E32)),SUMIF((OFFSET(CÁLCULO!$BC$15:$BU$15,$E32,0,OFFSET(ORÇAMENTO!$D$15,CRONO!$E32,0))),"="&amp;CRONO!AD$12,OFFSET(CÁLCULO!$AJ$15:$BB$15,$E32,0,OFFSET(ORÇAMENTO!$D$15,CRONO!$E32,0)))+IF(AND($E34&lt;&gt;"",$E34&lt;&gt;0),SUMIF(CÁLCULO!$BC$15:$BU$58,"="&amp;CRONO!AD$12,CÁLCULO!$AJ$15:$BB$58)/(ORÇAMENTO!$X$15-CÁLCULO.TotalAdmLocal)*CRONO!$E34,0),AD33*$R32),SUMIF(OFFSET($R34,1,0,$Q32-2),($L32+1)&amp;"$",OFFSET(AD34,1,0,$Q32-2)))</f>
        <v>0</v>
      </c>
      <c r="AE34" s="263">
        <f ca="1">IF($Q32=2,IF(AND(ACOMPANHAMENTO="PLE",ISNUMBER($E32)),SUMIF((OFFSET(CÁLCULO!$BC$15:$BU$15,$E32,0,OFFSET(ORÇAMENTO!$D$15,CRONO!$E32,0))),"="&amp;CRONO!AE$12,OFFSET(CÁLCULO!$AJ$15:$BB$15,$E32,0,OFFSET(ORÇAMENTO!$D$15,CRONO!$E32,0)))+IF(AND($E34&lt;&gt;"",$E34&lt;&gt;0),SUMIF(CÁLCULO!$BC$15:$BU$58,"="&amp;CRONO!AE$12,CÁLCULO!$AJ$15:$BB$58)/(ORÇAMENTO!$X$15-CÁLCULO.TotalAdmLocal)*CRONO!$E34,0),AE33*$R32),SUMIF(OFFSET($R34,1,0,$Q32-2),($L32+1)&amp;"$",OFFSET(AE34,1,0,$Q32-2)))</f>
        <v>0</v>
      </c>
    </row>
    <row r="35" spans="1:32" x14ac:dyDescent="0.2">
      <c r="A35" s="239">
        <f t="shared" ref="A35" ca="1" si="52">OFFSET(A35,-3,0)+1</f>
        <v>8</v>
      </c>
      <c r="B35" s="239">
        <f ca="1">IF($Q35&lt;&gt;2,0,IF($R35=0,1,IF(E36&gt;0,OFFSET(QCI!$M$13,SUBSTITUTE(E36,".",""),0),OFFSET(ORÇAMENTO!$AA$15,CRONO!$E35,0))/$R35))</f>
        <v>1</v>
      </c>
      <c r="C35" s="239">
        <f ca="1">IF($Q35&lt;&gt;2,0,IF($R35=0,1,IF(E36&gt;0,OFFSET(QCI!$N$13,SUBSTITUTE(E36,".",""),0),OFFSET(ORÇAMENTO!$AB$15,CRONO!$E35,0))/$R35))</f>
        <v>1</v>
      </c>
      <c r="D35" s="242" t="e">
        <f ca="1">IF(AND($Q35=2,ACOMPANHAMENTO="BM"),D36,D37/$R35)</f>
        <v>#DIV/0!</v>
      </c>
      <c r="E35" s="239">
        <f ca="1">IF(A35&lt;=ORÇAMENTO.MáximoListaCrono,MATCH(A35,ORÇAMENTO.ListaCrono,0),NA())</f>
        <v>27</v>
      </c>
      <c r="F35" s="239" t="str">
        <f t="shared" ref="F35" ca="1" si="53">IF(AND($E36&lt;&gt;-1,$R35&gt;0),"F","")</f>
        <v/>
      </c>
      <c r="G35" s="243" t="str">
        <f ca="1">IF(OR(R35=0,R35=""),"Linha",IF(AND(OR(ACOMPANHAMENTO="PLE",$Q35&lt;&gt;2),$E36=0),"Linha",1-SUM(T35:AF35)))</f>
        <v>Linha</v>
      </c>
      <c r="H35" s="244" t="str">
        <f ca="1">IF($E36=0,OFFSET(ORÇAMENTO!O$15,$E35,0),IF($E36&lt;&gt;-1,OFFSET(QCI!$D$13,$E36,0),""))</f>
        <v>1.7.</v>
      </c>
      <c r="I35" s="245" t="str">
        <f ca="1">IF($E36=0,OFFSET(ORÇAMENTO!R$15,$E35,0),IF($E36&lt;&gt;-1,OFFSET(QCI!$G$13,$E36,0),""))</f>
        <v>PASSEIO E SINALIZAÇÃO</v>
      </c>
      <c r="J35" s="245"/>
      <c r="K35" s="245"/>
      <c r="L35" s="246">
        <f ca="1">IF($E36=0,OFFSET(ORÇAMENTO!C$15,$E35,0),1)</f>
        <v>2</v>
      </c>
      <c r="M35" s="247">
        <f ca="1">IF($E36=-1,0,IF(M$13&lt;=$L35,IF(ISERROR(MATCH(M$13,OFFSET($L35,1,0,ROW($L$41)-ROW($L35)-1),0)),ROW($L$41)-ROW($L35)-1,MATCH(M$13,OFFSET($L35,1,0,ROW($L$41)-ROW($L35)-1),0)-1),0))</f>
        <v>5</v>
      </c>
      <c r="N35" s="247">
        <f ca="1">IF($E36=-1,0,IF(N$13&lt;=$L35,IF(ISERROR(MATCH(N$13,OFFSET($L35,1,0,ROW($L$41)-ROW($L35)-1),0)),ROW($L$41)-ROW($L35)-1,MATCH(N$13,OFFSET($L35,1,0,ROW($L$41)-ROW($L35)-1),0)-1),0))</f>
        <v>2</v>
      </c>
      <c r="O35" s="247">
        <f ca="1">IF($E36=-1,0,IF(O$13&lt;=$L35,IF(ISERROR(MATCH(O$13,OFFSET($L35,1,0,ROW($L$41)-ROW($L35)-1),0)),ROW($L$41)-ROW($L35)-1,MATCH(O$13,OFFSET($L35,1,0,ROW($L$41)-ROW($L35)-1),0)-1),0))</f>
        <v>0</v>
      </c>
      <c r="P35" s="247">
        <f ca="1">IF($E36=-1,0,IF(P$13&lt;=$L35,IF(ISERROR(MATCH(P$13,OFFSET($L35,1,0,ROW($L$41)-ROW($L35)-1),0)),ROW($L$41)-ROW($L35)-1,MATCH(P$13,OFFSET($L35,1,0,ROW($L$41)-ROW($L35)-1),0)-1),0))</f>
        <v>0</v>
      </c>
      <c r="Q35" s="247">
        <f t="shared" ref="Q35" ca="1" si="54">MIN(OFFSET(L35,0,1,,L35))</f>
        <v>2</v>
      </c>
      <c r="R35" s="248">
        <f ca="1">IF($E36=0,OFFSET(ORÇAMENTO!X$15,$E35,0),IF($E36&lt;&gt;-1,OFFSET(QCI!$O$13,$E36,0),""))</f>
        <v>0</v>
      </c>
      <c r="S35" s="249" t="s">
        <v>270</v>
      </c>
      <c r="T35" s="250" t="e">
        <f t="shared" ref="T35:AE35" ca="1" si="55">IF(AND($Q35=2,ACOMPANHAMENTO="BM"),T36,T37/$R35)</f>
        <v>#DIV/0!</v>
      </c>
      <c r="U35" s="242" t="e">
        <f t="shared" ca="1" si="55"/>
        <v>#DIV/0!</v>
      </c>
      <c r="V35" s="242" t="e">
        <f t="shared" ca="1" si="55"/>
        <v>#DIV/0!</v>
      </c>
      <c r="W35" s="242" t="e">
        <f t="shared" ca="1" si="55"/>
        <v>#DIV/0!</v>
      </c>
      <c r="X35" s="242" t="e">
        <f t="shared" ca="1" si="55"/>
        <v>#DIV/0!</v>
      </c>
      <c r="Y35" s="242" t="e">
        <f t="shared" ca="1" si="55"/>
        <v>#DIV/0!</v>
      </c>
      <c r="Z35" s="242" t="e">
        <f t="shared" ca="1" si="55"/>
        <v>#DIV/0!</v>
      </c>
      <c r="AA35" s="242" t="e">
        <f t="shared" ca="1" si="55"/>
        <v>#DIV/0!</v>
      </c>
      <c r="AB35" s="242" t="e">
        <f t="shared" ca="1" si="55"/>
        <v>#DIV/0!</v>
      </c>
      <c r="AC35" s="242" t="e">
        <f t="shared" ca="1" si="55"/>
        <v>#DIV/0!</v>
      </c>
      <c r="AD35" s="242" t="e">
        <f t="shared" ca="1" si="55"/>
        <v>#DIV/0!</v>
      </c>
      <c r="AE35" s="251" t="e">
        <f t="shared" ca="1" si="55"/>
        <v>#DIV/0!</v>
      </c>
    </row>
    <row r="36" spans="1:32" ht="12.75" customHeight="1" x14ac:dyDescent="0.2">
      <c r="D36" s="657"/>
      <c r="E36" s="239">
        <f ca="1">IF(ISERROR(E35),IF(1+COUNTIF($L$13:OFFSET(L35,-1,0),1)&lt;=MAX(QCI!$D$13:$D$15),1+COUNTIF($L$13:OFFSET(L35,-1,0),1),-1),0)</f>
        <v>0</v>
      </c>
      <c r="F36" s="239" t="str">
        <f t="shared" ref="F36" ca="1" si="56">IF(AND($E36&lt;&gt;-1,$R35&gt;0),"F","")</f>
        <v/>
      </c>
      <c r="G36" s="252" t="str">
        <f ca="1">IF(OR(R35=0,R35=""),"vazia",IF(AND(OR(ACOMPANHAMENTO="PLE",$Q35&lt;&gt;2),$E36=0),"calculada","--&gt;"))</f>
        <v>vazia</v>
      </c>
      <c r="H36" s="253"/>
      <c r="I36" s="254" t="str">
        <f t="shared" ref="I36" ca="1" si="57">IF(AND(G35&lt;&gt;0,ISNUMBER(G35)),"PREENCHA ESTA LINHA --&gt;","")</f>
        <v/>
      </c>
      <c r="J36" s="254"/>
      <c r="K36" s="254"/>
      <c r="L36" s="255"/>
      <c r="M36" s="255"/>
      <c r="N36" s="255"/>
      <c r="O36" s="255"/>
      <c r="P36" s="255"/>
      <c r="Q36" s="255"/>
      <c r="R36" s="256"/>
      <c r="S36" s="257"/>
      <c r="T36" s="658"/>
      <c r="U36" s="657"/>
      <c r="V36" s="657"/>
      <c r="W36" s="657"/>
      <c r="X36" s="657"/>
      <c r="Y36" s="657"/>
      <c r="Z36" s="657"/>
      <c r="AA36" s="657"/>
      <c r="AB36" s="657"/>
      <c r="AC36" s="657"/>
      <c r="AD36" s="657"/>
      <c r="AE36" s="659"/>
      <c r="AF36" s="618"/>
    </row>
    <row r="37" spans="1:32" ht="0.2" hidden="1" customHeight="1" x14ac:dyDescent="0.2">
      <c r="D37" s="258">
        <f ca="1">IF($Q35=2,IF(AND(ACOMPANHAMENTO="PLE",ISNUMBER($E35)),SUMIF((OFFSET(CÁLCULO!$BC$15:$BU$15,$E35,0,OFFSET(ORÇAMENTO!$D$15,CRONO!$E35,0))),"="&amp;CRONO!D$12,OFFSET(CÁLCULO!$AJ$15:$BB$15,$E35,0,OFFSET(ORÇAMENTO!$D$15,CRONO!$E35,0)))+IF(AND($E37&lt;&gt;"",$E37&lt;&gt;0),SUMIF(CÁLCULO!$BC$15:$BU$58,"="&amp;CRONO!D$12,CÁLCULO!$AJ$15:$BB$58)/(ORÇAMENTO!$X$15-CÁLCULO.TotalAdmLocal)*CRONO!$E37,0),D36*$R35),SUMIF(OFFSET($R37,1,0,$Q35-2),($L35+1)&amp;"$",OFFSET(D37,1,0,$Q35-2)))</f>
        <v>0</v>
      </c>
      <c r="E37" s="239" t="str">
        <f ca="1">IF(OR($Q35&lt;&gt;2,AUTOEVENTO&lt;&gt;"manual",$E36&gt;0),"",SUMIF(OFFSET(CÁLCULO!$M$15,CRONO!$E35,0,OFFSET(ORÇAMENTO!$D$15,CRONO!$E35,0)),1,OFFSET(ORÇAMENTO!$X$15,CRONO!$E35,0,OFFSET(ORÇAMENTO!$D$15,CRONO!$E35,0))))</f>
        <v/>
      </c>
      <c r="G37" s="259"/>
      <c r="R37" s="260" t="str">
        <f t="shared" ref="R37" ca="1" si="58">L35&amp;"$"</f>
        <v>2$</v>
      </c>
      <c r="S37" s="261"/>
      <c r="T37" s="262">
        <f ca="1">IF($Q35=2,IF(AND(ACOMPANHAMENTO="PLE",ISNUMBER($E35)),SUMIF((OFFSET(CÁLCULO!$BC$15:$BU$15,$E35,0,OFFSET(ORÇAMENTO!$D$15,CRONO!$E35,0))),"&lt;="&amp;CRONO!T$12,OFFSET(CÁLCULO!$AJ$15:$BB$15,$E35,0,OFFSET(ORÇAMENTO!$D$15,CRONO!$E35,0)))+IF(AND($E37&lt;&gt;"",$E37&lt;&gt;0),SUMIF(CÁLCULO!$BC$15:$BU$58,"&lt;="&amp;CRONO!T$12,CÁLCULO!$AJ$15:$BB$58)/(ORÇAMENTO!$X$15-CÁLCULO.TotalAdmLocal)*CRONO!$E37,0),T36*$R35),SUMIF(OFFSET($R37,1,0,$Q35-2),($L35+1)&amp;"$",OFFSET(T37,1,0,$Q35-2)))</f>
        <v>0</v>
      </c>
      <c r="U37" s="258">
        <f ca="1">IF($Q35=2,IF(AND(ACOMPANHAMENTO="PLE",ISNUMBER($E35)),SUMIF((OFFSET(CÁLCULO!$BC$15:$BU$15,$E35,0,OFFSET(ORÇAMENTO!$D$15,CRONO!$E35,0))),"="&amp;CRONO!U$12,OFFSET(CÁLCULO!$AJ$15:$BB$15,$E35,0,OFFSET(ORÇAMENTO!$D$15,CRONO!$E35,0)))+IF(AND($E37&lt;&gt;"",$E37&lt;&gt;0),SUMIF(CÁLCULO!$BC$15:$BU$58,"="&amp;CRONO!U$12,CÁLCULO!$AJ$15:$BB$58)/(ORÇAMENTO!$X$15-CÁLCULO.TotalAdmLocal)*CRONO!$E37,0),U36*$R35),SUMIF(OFFSET($R37,1,0,$Q35-2),($L35+1)&amp;"$",OFFSET(U37,1,0,$Q35-2)))</f>
        <v>0</v>
      </c>
      <c r="V37" s="258">
        <f ca="1">IF($Q35=2,IF(AND(ACOMPANHAMENTO="PLE",ISNUMBER($E35)),SUMIF((OFFSET(CÁLCULO!$BC$15:$BU$15,$E35,0,OFFSET(ORÇAMENTO!$D$15,CRONO!$E35,0))),"="&amp;CRONO!V$12,OFFSET(CÁLCULO!$AJ$15:$BB$15,$E35,0,OFFSET(ORÇAMENTO!$D$15,CRONO!$E35,0)))+IF(AND($E37&lt;&gt;"",$E37&lt;&gt;0),SUMIF(CÁLCULO!$BC$15:$BU$58,"="&amp;CRONO!V$12,CÁLCULO!$AJ$15:$BB$58)/(ORÇAMENTO!$X$15-CÁLCULO.TotalAdmLocal)*CRONO!$E37,0),V36*$R35),SUMIF(OFFSET($R37,1,0,$Q35-2),($L35+1)&amp;"$",OFFSET(V37,1,0,$Q35-2)))</f>
        <v>0</v>
      </c>
      <c r="W37" s="258">
        <f ca="1">IF($Q35=2,IF(AND(ACOMPANHAMENTO="PLE",ISNUMBER($E35)),SUMIF((OFFSET(CÁLCULO!$BC$15:$BU$15,$E35,0,OFFSET(ORÇAMENTO!$D$15,CRONO!$E35,0))),"="&amp;CRONO!W$12,OFFSET(CÁLCULO!$AJ$15:$BB$15,$E35,0,OFFSET(ORÇAMENTO!$D$15,CRONO!$E35,0)))+IF(AND($E37&lt;&gt;"",$E37&lt;&gt;0),SUMIF(CÁLCULO!$BC$15:$BU$58,"="&amp;CRONO!W$12,CÁLCULO!$AJ$15:$BB$58)/(ORÇAMENTO!$X$15-CÁLCULO.TotalAdmLocal)*CRONO!$E37,0),W36*$R35),SUMIF(OFFSET($R37,1,0,$Q35-2),($L35+1)&amp;"$",OFFSET(W37,1,0,$Q35-2)))</f>
        <v>0</v>
      </c>
      <c r="X37" s="258">
        <f ca="1">IF($Q35=2,IF(AND(ACOMPANHAMENTO="PLE",ISNUMBER($E35)),SUMIF((OFFSET(CÁLCULO!$BC$15:$BU$15,$E35,0,OFFSET(ORÇAMENTO!$D$15,CRONO!$E35,0))),"="&amp;CRONO!X$12,OFFSET(CÁLCULO!$AJ$15:$BB$15,$E35,0,OFFSET(ORÇAMENTO!$D$15,CRONO!$E35,0)))+IF(AND($E37&lt;&gt;"",$E37&lt;&gt;0),SUMIF(CÁLCULO!$BC$15:$BU$58,"="&amp;CRONO!X$12,CÁLCULO!$AJ$15:$BB$58)/(ORÇAMENTO!$X$15-CÁLCULO.TotalAdmLocal)*CRONO!$E37,0),X36*$R35),SUMIF(OFFSET($R37,1,0,$Q35-2),($L35+1)&amp;"$",OFFSET(X37,1,0,$Q35-2)))</f>
        <v>0</v>
      </c>
      <c r="Y37" s="258">
        <f ca="1">IF($Q35=2,IF(AND(ACOMPANHAMENTO="PLE",ISNUMBER($E35)),SUMIF((OFFSET(CÁLCULO!$BC$15:$BU$15,$E35,0,OFFSET(ORÇAMENTO!$D$15,CRONO!$E35,0))),"="&amp;CRONO!Y$12,OFFSET(CÁLCULO!$AJ$15:$BB$15,$E35,0,OFFSET(ORÇAMENTO!$D$15,CRONO!$E35,0)))+IF(AND($E37&lt;&gt;"",$E37&lt;&gt;0),SUMIF(CÁLCULO!$BC$15:$BU$58,"="&amp;CRONO!Y$12,CÁLCULO!$AJ$15:$BB$58)/(ORÇAMENTO!$X$15-CÁLCULO.TotalAdmLocal)*CRONO!$E37,0),Y36*$R35),SUMIF(OFFSET($R37,1,0,$Q35-2),($L35+1)&amp;"$",OFFSET(Y37,1,0,$Q35-2)))</f>
        <v>0</v>
      </c>
      <c r="Z37" s="258">
        <f ca="1">IF($Q35=2,IF(AND(ACOMPANHAMENTO="PLE",ISNUMBER($E35)),SUMIF((OFFSET(CÁLCULO!$BC$15:$BU$15,$E35,0,OFFSET(ORÇAMENTO!$D$15,CRONO!$E35,0))),"="&amp;CRONO!Z$12,OFFSET(CÁLCULO!$AJ$15:$BB$15,$E35,0,OFFSET(ORÇAMENTO!$D$15,CRONO!$E35,0)))+IF(AND($E37&lt;&gt;"",$E37&lt;&gt;0),SUMIF(CÁLCULO!$BC$15:$BU$58,"="&amp;CRONO!Z$12,CÁLCULO!$AJ$15:$BB$58)/(ORÇAMENTO!$X$15-CÁLCULO.TotalAdmLocal)*CRONO!$E37,0),Z36*$R35),SUMIF(OFFSET($R37,1,0,$Q35-2),($L35+1)&amp;"$",OFFSET(Z37,1,0,$Q35-2)))</f>
        <v>0</v>
      </c>
      <c r="AA37" s="258">
        <f ca="1">IF($Q35=2,IF(AND(ACOMPANHAMENTO="PLE",ISNUMBER($E35)),SUMIF((OFFSET(CÁLCULO!$BC$15:$BU$15,$E35,0,OFFSET(ORÇAMENTO!$D$15,CRONO!$E35,0))),"="&amp;CRONO!AA$12,OFFSET(CÁLCULO!$AJ$15:$BB$15,$E35,0,OFFSET(ORÇAMENTO!$D$15,CRONO!$E35,0)))+IF(AND($E37&lt;&gt;"",$E37&lt;&gt;0),SUMIF(CÁLCULO!$BC$15:$BU$58,"="&amp;CRONO!AA$12,CÁLCULO!$AJ$15:$BB$58)/(ORÇAMENTO!$X$15-CÁLCULO.TotalAdmLocal)*CRONO!$E37,0),AA36*$R35),SUMIF(OFFSET($R37,1,0,$Q35-2),($L35+1)&amp;"$",OFFSET(AA37,1,0,$Q35-2)))</f>
        <v>0</v>
      </c>
      <c r="AB37" s="258">
        <f ca="1">IF($Q35=2,IF(AND(ACOMPANHAMENTO="PLE",ISNUMBER($E35)),SUMIF((OFFSET(CÁLCULO!$BC$15:$BU$15,$E35,0,OFFSET(ORÇAMENTO!$D$15,CRONO!$E35,0))),"="&amp;CRONO!AB$12,OFFSET(CÁLCULO!$AJ$15:$BB$15,$E35,0,OFFSET(ORÇAMENTO!$D$15,CRONO!$E35,0)))+IF(AND($E37&lt;&gt;"",$E37&lt;&gt;0),SUMIF(CÁLCULO!$BC$15:$BU$58,"="&amp;CRONO!AB$12,CÁLCULO!$AJ$15:$BB$58)/(ORÇAMENTO!$X$15-CÁLCULO.TotalAdmLocal)*CRONO!$E37,0),AB36*$R35),SUMIF(OFFSET($R37,1,0,$Q35-2),($L35+1)&amp;"$",OFFSET(AB37,1,0,$Q35-2)))</f>
        <v>0</v>
      </c>
      <c r="AC37" s="258">
        <f ca="1">IF($Q35=2,IF(AND(ACOMPANHAMENTO="PLE",ISNUMBER($E35)),SUMIF((OFFSET(CÁLCULO!$BC$15:$BU$15,$E35,0,OFFSET(ORÇAMENTO!$D$15,CRONO!$E35,0))),"="&amp;CRONO!AC$12,OFFSET(CÁLCULO!$AJ$15:$BB$15,$E35,0,OFFSET(ORÇAMENTO!$D$15,CRONO!$E35,0)))+IF(AND($E37&lt;&gt;"",$E37&lt;&gt;0),SUMIF(CÁLCULO!$BC$15:$BU$58,"="&amp;CRONO!AC$12,CÁLCULO!$AJ$15:$BB$58)/(ORÇAMENTO!$X$15-CÁLCULO.TotalAdmLocal)*CRONO!$E37,0),AC36*$R35),SUMIF(OFFSET($R37,1,0,$Q35-2),($L35+1)&amp;"$",OFFSET(AC37,1,0,$Q35-2)))</f>
        <v>0</v>
      </c>
      <c r="AD37" s="258">
        <f ca="1">IF($Q35=2,IF(AND(ACOMPANHAMENTO="PLE",ISNUMBER($E35)),SUMIF((OFFSET(CÁLCULO!$BC$15:$BU$15,$E35,0,OFFSET(ORÇAMENTO!$D$15,CRONO!$E35,0))),"="&amp;CRONO!AD$12,OFFSET(CÁLCULO!$AJ$15:$BB$15,$E35,0,OFFSET(ORÇAMENTO!$D$15,CRONO!$E35,0)))+IF(AND($E37&lt;&gt;"",$E37&lt;&gt;0),SUMIF(CÁLCULO!$BC$15:$BU$58,"="&amp;CRONO!AD$12,CÁLCULO!$AJ$15:$BB$58)/(ORÇAMENTO!$X$15-CÁLCULO.TotalAdmLocal)*CRONO!$E37,0),AD36*$R35),SUMIF(OFFSET($R37,1,0,$Q35-2),($L35+1)&amp;"$",OFFSET(AD37,1,0,$Q35-2)))</f>
        <v>0</v>
      </c>
      <c r="AE37" s="263">
        <f ca="1">IF($Q35=2,IF(AND(ACOMPANHAMENTO="PLE",ISNUMBER($E35)),SUMIF((OFFSET(CÁLCULO!$BC$15:$BU$15,$E35,0,OFFSET(ORÇAMENTO!$D$15,CRONO!$E35,0))),"="&amp;CRONO!AE$12,OFFSET(CÁLCULO!$AJ$15:$BB$15,$E35,0,OFFSET(ORÇAMENTO!$D$15,CRONO!$E35,0)))+IF(AND($E37&lt;&gt;"",$E37&lt;&gt;0),SUMIF(CÁLCULO!$BC$15:$BU$58,"="&amp;CRONO!AE$12,CÁLCULO!$AJ$15:$BB$58)/(ORÇAMENTO!$X$15-CÁLCULO.TotalAdmLocal)*CRONO!$E37,0),AE36*$R35),SUMIF(OFFSET($R37,1,0,$Q35-2),($L35+1)&amp;"$",OFFSET(AE37,1,0,$Q35-2)))</f>
        <v>0</v>
      </c>
    </row>
    <row r="38" spans="1:32" x14ac:dyDescent="0.2">
      <c r="A38" s="239">
        <f ca="1">OFFSET(A38,-3,0)+1</f>
        <v>9</v>
      </c>
      <c r="B38" s="239">
        <f ca="1">IF($Q38&lt;&gt;2,0,IF($R38=0,1,IF(E39&gt;0,OFFSET(QCI!$M$13,SUBSTITUTE(E39,".",""),0),OFFSET(ORÇAMENTO!$AA$15,CRONO!$E38,0))/$R38))</f>
        <v>1</v>
      </c>
      <c r="C38" s="239">
        <f ca="1">IF($Q38&lt;&gt;2,0,IF($R38=0,1,IF(E39&gt;0,OFFSET(QCI!$N$13,SUBSTITUTE(E39,".",""),0),OFFSET(ORÇAMENTO!$AB$15,CRONO!$E38,0))/$R38))</f>
        <v>1</v>
      </c>
      <c r="D38" s="242" t="e">
        <f ca="1">IF(AND($Q38=2,ACOMPANHAMENTO="BM"),D39,D40/$R38)</f>
        <v>#DIV/0!</v>
      </c>
      <c r="E38" s="239">
        <f ca="1">IF(A38&lt;=ORÇAMENTO.MáximoListaCrono,MATCH(A38,ORÇAMENTO.ListaCrono,0),NA())</f>
        <v>34</v>
      </c>
      <c r="F38" s="239" t="str">
        <f ca="1">IF(AND($E39&lt;&gt;-1,$R38&gt;0),"F","")</f>
        <v/>
      </c>
      <c r="G38" s="243" t="str">
        <f ca="1">IF(OR(R38=0,R38=""),"Linha",IF(AND(OR(ACOMPANHAMENTO="PLE",$Q38&lt;&gt;2),$E39=0),"Linha",1-SUM(T38:AF38)))</f>
        <v>Linha</v>
      </c>
      <c r="H38" s="244" t="str">
        <f ca="1">IF($E39=0,OFFSET(ORÇAMENTO!O$15,$E38,0),IF($E39&lt;&gt;-1,OFFSET(QCI!$D$13,$E39,0),""))</f>
        <v>1.8.</v>
      </c>
      <c r="I38" s="245" t="str">
        <f ca="1">IF($E39=0,OFFSET(ORÇAMENTO!R$15,$E38,0),IF($E39&lt;&gt;-1,OFFSET(QCI!$G$13,$E39,0),""))</f>
        <v xml:space="preserve">DRENAGEM </v>
      </c>
      <c r="J38" s="245"/>
      <c r="K38" s="245"/>
      <c r="L38" s="246">
        <f ca="1">IF($E39=0,OFFSET(ORÇAMENTO!C$15,$E38,0),1)</f>
        <v>2</v>
      </c>
      <c r="M38" s="247">
        <f ca="1">IF($E39=-1,0,IF(M$13&lt;=$L38,IF(ISERROR(MATCH(M$13,OFFSET($L38,1,0,ROW($L$41)-ROW($L38)-1),0)),ROW($L$41)-ROW($L38)-1,MATCH(M$13,OFFSET($L38,1,0,ROW($L$41)-ROW($L38)-1),0)-1),0))</f>
        <v>2</v>
      </c>
      <c r="N38" s="247">
        <f ca="1">IF($E39=-1,0,IF(N$13&lt;=$L38,IF(ISERROR(MATCH(N$13,OFFSET($L38,1,0,ROW($L$41)-ROW($L38)-1),0)),ROW($L$41)-ROW($L38)-1,MATCH(N$13,OFFSET($L38,1,0,ROW($L$41)-ROW($L38)-1),0)-1),0))</f>
        <v>2</v>
      </c>
      <c r="O38" s="247">
        <f ca="1">IF($E39=-1,0,IF(O$13&lt;=$L38,IF(ISERROR(MATCH(O$13,OFFSET($L38,1,0,ROW($L$41)-ROW($L38)-1),0)),ROW($L$41)-ROW($L38)-1,MATCH(O$13,OFFSET($L38,1,0,ROW($L$41)-ROW($L38)-1),0)-1),0))</f>
        <v>0</v>
      </c>
      <c r="P38" s="247">
        <f ca="1">IF($E39=-1,0,IF(P$13&lt;=$L38,IF(ISERROR(MATCH(P$13,OFFSET($L38,1,0,ROW($L$41)-ROW($L38)-1),0)),ROW($L$41)-ROW($L38)-1,MATCH(P$13,OFFSET($L38,1,0,ROW($L$41)-ROW($L38)-1),0)-1),0))</f>
        <v>0</v>
      </c>
      <c r="Q38" s="247">
        <f ca="1">MIN(OFFSET(L38,0,1,,L38))</f>
        <v>2</v>
      </c>
      <c r="R38" s="248">
        <f ca="1">IF($E39=0,OFFSET(ORÇAMENTO!X$15,$E38,0),IF($E39&lt;&gt;-1,OFFSET(QCI!$O$13,$E39,0),""))</f>
        <v>0</v>
      </c>
      <c r="S38" s="249" t="s">
        <v>270</v>
      </c>
      <c r="T38" s="250" t="e">
        <f t="shared" ref="T38:AE38" ca="1" si="59">IF(AND($Q38=2,ACOMPANHAMENTO="BM"),T39,T40/$R38)</f>
        <v>#DIV/0!</v>
      </c>
      <c r="U38" s="242" t="e">
        <f t="shared" ca="1" si="59"/>
        <v>#DIV/0!</v>
      </c>
      <c r="V38" s="242" t="e">
        <f t="shared" ca="1" si="59"/>
        <v>#DIV/0!</v>
      </c>
      <c r="W38" s="242" t="e">
        <f t="shared" ca="1" si="59"/>
        <v>#DIV/0!</v>
      </c>
      <c r="X38" s="242" t="e">
        <f t="shared" ca="1" si="59"/>
        <v>#DIV/0!</v>
      </c>
      <c r="Y38" s="242" t="e">
        <f t="shared" ca="1" si="59"/>
        <v>#DIV/0!</v>
      </c>
      <c r="Z38" s="242" t="e">
        <f t="shared" ca="1" si="59"/>
        <v>#DIV/0!</v>
      </c>
      <c r="AA38" s="242" t="e">
        <f t="shared" ca="1" si="59"/>
        <v>#DIV/0!</v>
      </c>
      <c r="AB38" s="242" t="e">
        <f t="shared" ca="1" si="59"/>
        <v>#DIV/0!</v>
      </c>
      <c r="AC38" s="242" t="e">
        <f t="shared" ca="1" si="59"/>
        <v>#DIV/0!</v>
      </c>
      <c r="AD38" s="242" t="e">
        <f t="shared" ca="1" si="59"/>
        <v>#DIV/0!</v>
      </c>
      <c r="AE38" s="251" t="e">
        <f t="shared" ca="1" si="59"/>
        <v>#DIV/0!</v>
      </c>
    </row>
    <row r="39" spans="1:32" ht="12.75" customHeight="1" x14ac:dyDescent="0.2">
      <c r="D39" s="657"/>
      <c r="E39" s="239">
        <f ca="1">IF(ISERROR(E38),IF(1+COUNTIF($L$13:OFFSET(L38,-1,0),1)&lt;=MAX(QCI!$D$13:$D$15),1+COUNTIF($L$13:OFFSET(L38,-1,0),1),-1),0)</f>
        <v>0</v>
      </c>
      <c r="F39" s="239" t="str">
        <f ca="1">IF(AND($E39&lt;&gt;-1,$R38&gt;0),"F","")</f>
        <v/>
      </c>
      <c r="G39" s="252" t="str">
        <f ca="1">IF(OR(R38=0,R38=""),"vazia",IF(AND(OR(ACOMPANHAMENTO="PLE",$Q38&lt;&gt;2),$E39=0),"calculada","--&gt;"))</f>
        <v>vazia</v>
      </c>
      <c r="H39" s="253"/>
      <c r="I39" s="254" t="str">
        <f ca="1">IF(AND(G38&lt;&gt;0,ISNUMBER(G38)),"PREENCHA ESTA LINHA --&gt;","")</f>
        <v/>
      </c>
      <c r="J39" s="254"/>
      <c r="K39" s="254"/>
      <c r="L39" s="255"/>
      <c r="M39" s="255"/>
      <c r="N39" s="255"/>
      <c r="O39" s="255"/>
      <c r="P39" s="255"/>
      <c r="Q39" s="255"/>
      <c r="R39" s="256"/>
      <c r="S39" s="257"/>
      <c r="T39" s="658"/>
      <c r="U39" s="657"/>
      <c r="V39" s="657"/>
      <c r="W39" s="657"/>
      <c r="X39" s="657"/>
      <c r="Y39" s="657"/>
      <c r="Z39" s="657"/>
      <c r="AA39" s="657"/>
      <c r="AB39" s="657"/>
      <c r="AC39" s="657"/>
      <c r="AD39" s="657"/>
      <c r="AE39" s="659"/>
      <c r="AF39" s="618"/>
    </row>
    <row r="40" spans="1:32" ht="0.2" hidden="1" customHeight="1" x14ac:dyDescent="0.2">
      <c r="D40" s="258">
        <f ca="1">IF($Q38=2,IF(AND(ACOMPANHAMENTO="PLE",ISNUMBER($E38)),SUMIF((OFFSET(CÁLCULO!$BC$15:$BU$15,$E38,0,OFFSET(ORÇAMENTO!$D$15,CRONO!$E38,0))),"="&amp;CRONO!D$12,OFFSET(CÁLCULO!$AJ$15:$BB$15,$E38,0,OFFSET(ORÇAMENTO!$D$15,CRONO!$E38,0)))+IF(AND($E40&lt;&gt;"",$E40&lt;&gt;0),SUMIF(CÁLCULO!$BC$15:$BU$58,"="&amp;CRONO!D$12,CÁLCULO!$AJ$15:$BB$58)/(ORÇAMENTO!$X$15-CÁLCULO.TotalAdmLocal)*CRONO!$E40,0),D39*$R38),SUMIF(OFFSET($R40,1,0,$Q38-2),($L38+1)&amp;"$",OFFSET(D40,1,0,$Q38-2)))</f>
        <v>0</v>
      </c>
      <c r="E40" s="239" t="str">
        <f ca="1">IF(OR($Q38&lt;&gt;2,AUTOEVENTO&lt;&gt;"manual",$E39&gt;0),"",SUMIF(OFFSET(CÁLCULO!$M$15,CRONO!$E38,0,OFFSET(ORÇAMENTO!$D$15,CRONO!$E38,0)),1,OFFSET(ORÇAMENTO!$X$15,CRONO!$E38,0,OFFSET(ORÇAMENTO!$D$15,CRONO!$E38,0))))</f>
        <v/>
      </c>
      <c r="G40" s="259"/>
      <c r="R40" s="260" t="str">
        <f ca="1">L38&amp;"$"</f>
        <v>2$</v>
      </c>
      <c r="S40" s="261"/>
      <c r="T40" s="262">
        <f ca="1">IF($Q38=2,IF(AND(ACOMPANHAMENTO="PLE",ISNUMBER($E38)),SUMIF((OFFSET(CÁLCULO!$BC$15:$BU$15,$E38,0,OFFSET(ORÇAMENTO!$D$15,CRONO!$E38,0))),"&lt;="&amp;CRONO!T$12,OFFSET(CÁLCULO!$AJ$15:$BB$15,$E38,0,OFFSET(ORÇAMENTO!$D$15,CRONO!$E38,0)))+IF(AND($E40&lt;&gt;"",$E40&lt;&gt;0),SUMIF(CÁLCULO!$BC$15:$BU$58,"&lt;="&amp;CRONO!T$12,CÁLCULO!$AJ$15:$BB$58)/(ORÇAMENTO!$X$15-CÁLCULO.TotalAdmLocal)*CRONO!$E40,0),T39*$R38),SUMIF(OFFSET($R40,1,0,$Q38-2),($L38+1)&amp;"$",OFFSET(T40,1,0,$Q38-2)))</f>
        <v>0</v>
      </c>
      <c r="U40" s="258">
        <f ca="1">IF($Q38=2,IF(AND(ACOMPANHAMENTO="PLE",ISNUMBER($E38)),SUMIF((OFFSET(CÁLCULO!$BC$15:$BU$15,$E38,0,OFFSET(ORÇAMENTO!$D$15,CRONO!$E38,0))),"="&amp;CRONO!U$12,OFFSET(CÁLCULO!$AJ$15:$BB$15,$E38,0,OFFSET(ORÇAMENTO!$D$15,CRONO!$E38,0)))+IF(AND($E40&lt;&gt;"",$E40&lt;&gt;0),SUMIF(CÁLCULO!$BC$15:$BU$58,"="&amp;CRONO!U$12,CÁLCULO!$AJ$15:$BB$58)/(ORÇAMENTO!$X$15-CÁLCULO.TotalAdmLocal)*CRONO!$E40,0),U39*$R38),SUMIF(OFFSET($R40,1,0,$Q38-2),($L38+1)&amp;"$",OFFSET(U40,1,0,$Q38-2)))</f>
        <v>0</v>
      </c>
      <c r="V40" s="258">
        <f ca="1">IF($Q38=2,IF(AND(ACOMPANHAMENTO="PLE",ISNUMBER($E38)),SUMIF((OFFSET(CÁLCULO!$BC$15:$BU$15,$E38,0,OFFSET(ORÇAMENTO!$D$15,CRONO!$E38,0))),"="&amp;CRONO!V$12,OFFSET(CÁLCULO!$AJ$15:$BB$15,$E38,0,OFFSET(ORÇAMENTO!$D$15,CRONO!$E38,0)))+IF(AND($E40&lt;&gt;"",$E40&lt;&gt;0),SUMIF(CÁLCULO!$BC$15:$BU$58,"="&amp;CRONO!V$12,CÁLCULO!$AJ$15:$BB$58)/(ORÇAMENTO!$X$15-CÁLCULO.TotalAdmLocal)*CRONO!$E40,0),V39*$R38),SUMIF(OFFSET($R40,1,0,$Q38-2),($L38+1)&amp;"$",OFFSET(V40,1,0,$Q38-2)))</f>
        <v>0</v>
      </c>
      <c r="W40" s="258">
        <f ca="1">IF($Q38=2,IF(AND(ACOMPANHAMENTO="PLE",ISNUMBER($E38)),SUMIF((OFFSET(CÁLCULO!$BC$15:$BU$15,$E38,0,OFFSET(ORÇAMENTO!$D$15,CRONO!$E38,0))),"="&amp;CRONO!W$12,OFFSET(CÁLCULO!$AJ$15:$BB$15,$E38,0,OFFSET(ORÇAMENTO!$D$15,CRONO!$E38,0)))+IF(AND($E40&lt;&gt;"",$E40&lt;&gt;0),SUMIF(CÁLCULO!$BC$15:$BU$58,"="&amp;CRONO!W$12,CÁLCULO!$AJ$15:$BB$58)/(ORÇAMENTO!$X$15-CÁLCULO.TotalAdmLocal)*CRONO!$E40,0),W39*$R38),SUMIF(OFFSET($R40,1,0,$Q38-2),($L38+1)&amp;"$",OFFSET(W40,1,0,$Q38-2)))</f>
        <v>0</v>
      </c>
      <c r="X40" s="258">
        <f ca="1">IF($Q38=2,IF(AND(ACOMPANHAMENTO="PLE",ISNUMBER($E38)),SUMIF((OFFSET(CÁLCULO!$BC$15:$BU$15,$E38,0,OFFSET(ORÇAMENTO!$D$15,CRONO!$E38,0))),"="&amp;CRONO!X$12,OFFSET(CÁLCULO!$AJ$15:$BB$15,$E38,0,OFFSET(ORÇAMENTO!$D$15,CRONO!$E38,0)))+IF(AND($E40&lt;&gt;"",$E40&lt;&gt;0),SUMIF(CÁLCULO!$BC$15:$BU$58,"="&amp;CRONO!X$12,CÁLCULO!$AJ$15:$BB$58)/(ORÇAMENTO!$X$15-CÁLCULO.TotalAdmLocal)*CRONO!$E40,0),X39*$R38),SUMIF(OFFSET($R40,1,0,$Q38-2),($L38+1)&amp;"$",OFFSET(X40,1,0,$Q38-2)))</f>
        <v>0</v>
      </c>
      <c r="Y40" s="258">
        <f ca="1">IF($Q38=2,IF(AND(ACOMPANHAMENTO="PLE",ISNUMBER($E38)),SUMIF((OFFSET(CÁLCULO!$BC$15:$BU$15,$E38,0,OFFSET(ORÇAMENTO!$D$15,CRONO!$E38,0))),"="&amp;CRONO!Y$12,OFFSET(CÁLCULO!$AJ$15:$BB$15,$E38,0,OFFSET(ORÇAMENTO!$D$15,CRONO!$E38,0)))+IF(AND($E40&lt;&gt;"",$E40&lt;&gt;0),SUMIF(CÁLCULO!$BC$15:$BU$58,"="&amp;CRONO!Y$12,CÁLCULO!$AJ$15:$BB$58)/(ORÇAMENTO!$X$15-CÁLCULO.TotalAdmLocal)*CRONO!$E40,0),Y39*$R38),SUMIF(OFFSET($R40,1,0,$Q38-2),($L38+1)&amp;"$",OFFSET(Y40,1,0,$Q38-2)))</f>
        <v>0</v>
      </c>
      <c r="Z40" s="258">
        <f ca="1">IF($Q38=2,IF(AND(ACOMPANHAMENTO="PLE",ISNUMBER($E38)),SUMIF((OFFSET(CÁLCULO!$BC$15:$BU$15,$E38,0,OFFSET(ORÇAMENTO!$D$15,CRONO!$E38,0))),"="&amp;CRONO!Z$12,OFFSET(CÁLCULO!$AJ$15:$BB$15,$E38,0,OFFSET(ORÇAMENTO!$D$15,CRONO!$E38,0)))+IF(AND($E40&lt;&gt;"",$E40&lt;&gt;0),SUMIF(CÁLCULO!$BC$15:$BU$58,"="&amp;CRONO!Z$12,CÁLCULO!$AJ$15:$BB$58)/(ORÇAMENTO!$X$15-CÁLCULO.TotalAdmLocal)*CRONO!$E40,0),Z39*$R38),SUMIF(OFFSET($R40,1,0,$Q38-2),($L38+1)&amp;"$",OFFSET(Z40,1,0,$Q38-2)))</f>
        <v>0</v>
      </c>
      <c r="AA40" s="258">
        <f ca="1">IF($Q38=2,IF(AND(ACOMPANHAMENTO="PLE",ISNUMBER($E38)),SUMIF((OFFSET(CÁLCULO!$BC$15:$BU$15,$E38,0,OFFSET(ORÇAMENTO!$D$15,CRONO!$E38,0))),"="&amp;CRONO!AA$12,OFFSET(CÁLCULO!$AJ$15:$BB$15,$E38,0,OFFSET(ORÇAMENTO!$D$15,CRONO!$E38,0)))+IF(AND($E40&lt;&gt;"",$E40&lt;&gt;0),SUMIF(CÁLCULO!$BC$15:$BU$58,"="&amp;CRONO!AA$12,CÁLCULO!$AJ$15:$BB$58)/(ORÇAMENTO!$X$15-CÁLCULO.TotalAdmLocal)*CRONO!$E40,0),AA39*$R38),SUMIF(OFFSET($R40,1,0,$Q38-2),($L38+1)&amp;"$",OFFSET(AA40,1,0,$Q38-2)))</f>
        <v>0</v>
      </c>
      <c r="AB40" s="258">
        <f ca="1">IF($Q38=2,IF(AND(ACOMPANHAMENTO="PLE",ISNUMBER($E38)),SUMIF((OFFSET(CÁLCULO!$BC$15:$BU$15,$E38,0,OFFSET(ORÇAMENTO!$D$15,CRONO!$E38,0))),"="&amp;CRONO!AB$12,OFFSET(CÁLCULO!$AJ$15:$BB$15,$E38,0,OFFSET(ORÇAMENTO!$D$15,CRONO!$E38,0)))+IF(AND($E40&lt;&gt;"",$E40&lt;&gt;0),SUMIF(CÁLCULO!$BC$15:$BU$58,"="&amp;CRONO!AB$12,CÁLCULO!$AJ$15:$BB$58)/(ORÇAMENTO!$X$15-CÁLCULO.TotalAdmLocal)*CRONO!$E40,0),AB39*$R38),SUMIF(OFFSET($R40,1,0,$Q38-2),($L38+1)&amp;"$",OFFSET(AB40,1,0,$Q38-2)))</f>
        <v>0</v>
      </c>
      <c r="AC40" s="258">
        <f ca="1">IF($Q38=2,IF(AND(ACOMPANHAMENTO="PLE",ISNUMBER($E38)),SUMIF((OFFSET(CÁLCULO!$BC$15:$BU$15,$E38,0,OFFSET(ORÇAMENTO!$D$15,CRONO!$E38,0))),"="&amp;CRONO!AC$12,OFFSET(CÁLCULO!$AJ$15:$BB$15,$E38,0,OFFSET(ORÇAMENTO!$D$15,CRONO!$E38,0)))+IF(AND($E40&lt;&gt;"",$E40&lt;&gt;0),SUMIF(CÁLCULO!$BC$15:$BU$58,"="&amp;CRONO!AC$12,CÁLCULO!$AJ$15:$BB$58)/(ORÇAMENTO!$X$15-CÁLCULO.TotalAdmLocal)*CRONO!$E40,0),AC39*$R38),SUMIF(OFFSET($R40,1,0,$Q38-2),($L38+1)&amp;"$",OFFSET(AC40,1,0,$Q38-2)))</f>
        <v>0</v>
      </c>
      <c r="AD40" s="258">
        <f ca="1">IF($Q38=2,IF(AND(ACOMPANHAMENTO="PLE",ISNUMBER($E38)),SUMIF((OFFSET(CÁLCULO!$BC$15:$BU$15,$E38,0,OFFSET(ORÇAMENTO!$D$15,CRONO!$E38,0))),"="&amp;CRONO!AD$12,OFFSET(CÁLCULO!$AJ$15:$BB$15,$E38,0,OFFSET(ORÇAMENTO!$D$15,CRONO!$E38,0)))+IF(AND($E40&lt;&gt;"",$E40&lt;&gt;0),SUMIF(CÁLCULO!$BC$15:$BU$58,"="&amp;CRONO!AD$12,CÁLCULO!$AJ$15:$BB$58)/(ORÇAMENTO!$X$15-CÁLCULO.TotalAdmLocal)*CRONO!$E40,0),AD39*$R38),SUMIF(OFFSET($R40,1,0,$Q38-2),($L38+1)&amp;"$",OFFSET(AD40,1,0,$Q38-2)))</f>
        <v>0</v>
      </c>
      <c r="AE40" s="263">
        <f ca="1">IF($Q38=2,IF(AND(ACOMPANHAMENTO="PLE",ISNUMBER($E38)),SUMIF((OFFSET(CÁLCULO!$BC$15:$BU$15,$E38,0,OFFSET(ORÇAMENTO!$D$15,CRONO!$E38,0))),"="&amp;CRONO!AE$12,OFFSET(CÁLCULO!$AJ$15:$BB$15,$E38,0,OFFSET(ORÇAMENTO!$D$15,CRONO!$E38,0)))+IF(AND($E40&lt;&gt;"",$E40&lt;&gt;0),SUMIF(CÁLCULO!$BC$15:$BU$58,"="&amp;CRONO!AE$12,CÁLCULO!$AJ$15:$BB$58)/(ORÇAMENTO!$X$15-CÁLCULO.TotalAdmLocal)*CRONO!$E40,0),AE39*$R38),SUMIF(OFFSET($R40,1,0,$Q38-2),($L38+1)&amp;"$",OFFSET(AE40,1,0,$Q38-2)))</f>
        <v>0</v>
      </c>
    </row>
    <row r="41" spans="1:32" ht="5.0999999999999996" customHeight="1" x14ac:dyDescent="0.2">
      <c r="D41" s="583"/>
      <c r="F41" s="239" t="s">
        <v>246</v>
      </c>
      <c r="G41" s="585"/>
      <c r="H41" s="586"/>
      <c r="I41" s="587"/>
      <c r="J41" s="587"/>
      <c r="K41" s="587"/>
      <c r="L41" s="588" t="s">
        <v>281</v>
      </c>
      <c r="M41" s="588"/>
      <c r="N41" s="588"/>
      <c r="O41" s="588"/>
      <c r="P41" s="588"/>
      <c r="Q41" s="588"/>
      <c r="R41" s="589"/>
      <c r="S41" s="589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90"/>
      <c r="AF41" s="584"/>
    </row>
    <row r="42" spans="1:32" ht="12.75" customHeight="1" x14ac:dyDescent="0.2">
      <c r="D42" s="290" t="e">
        <f ca="1">D46/$Q$42</f>
        <v>#DIV/0!</v>
      </c>
      <c r="F42" s="239" t="s">
        <v>246</v>
      </c>
      <c r="H42" s="734" t="str">
        <f ca="1">"Total:    R$ "&amp;TEXT(Q42,"#.##0,00")</f>
        <v>Total:    R$ 0,00</v>
      </c>
      <c r="I42" s="734"/>
      <c r="J42" s="734"/>
      <c r="K42" s="291"/>
      <c r="Q42" s="292">
        <f ca="1">SUMIF(L12:L41,1,R12:R41)</f>
        <v>0</v>
      </c>
      <c r="R42" s="293"/>
      <c r="S42" s="294" t="s">
        <v>282</v>
      </c>
      <c r="T42" s="295" t="e">
        <f t="shared" ref="T42:AE42" ca="1" si="60">ROUND(T46,2)/$Q$42</f>
        <v>#DIV/0!</v>
      </c>
      <c r="U42" s="296" t="e">
        <f t="shared" ca="1" si="60"/>
        <v>#DIV/0!</v>
      </c>
      <c r="V42" s="296" t="e">
        <f t="shared" ca="1" si="60"/>
        <v>#DIV/0!</v>
      </c>
      <c r="W42" s="296" t="e">
        <f t="shared" ca="1" si="60"/>
        <v>#DIV/0!</v>
      </c>
      <c r="X42" s="296" t="e">
        <f t="shared" ca="1" si="60"/>
        <v>#DIV/0!</v>
      </c>
      <c r="Y42" s="296" t="e">
        <f t="shared" ca="1" si="60"/>
        <v>#DIV/0!</v>
      </c>
      <c r="Z42" s="296" t="e">
        <f t="shared" ca="1" si="60"/>
        <v>#DIV/0!</v>
      </c>
      <c r="AA42" s="296" t="e">
        <f t="shared" ca="1" si="60"/>
        <v>#DIV/0!</v>
      </c>
      <c r="AB42" s="296" t="e">
        <f t="shared" ca="1" si="60"/>
        <v>#DIV/0!</v>
      </c>
      <c r="AC42" s="296" t="e">
        <f t="shared" ca="1" si="60"/>
        <v>#DIV/0!</v>
      </c>
      <c r="AD42" s="296" t="e">
        <f t="shared" ca="1" si="60"/>
        <v>#DIV/0!</v>
      </c>
      <c r="AE42" s="297" t="e">
        <f t="shared" ca="1" si="60"/>
        <v>#DIV/0!</v>
      </c>
    </row>
    <row r="43" spans="1:32" ht="15" customHeight="1" x14ac:dyDescent="0.2">
      <c r="D43" s="298">
        <f ca="1">ROUND(D48,2)-ROUND(C48,2)</f>
        <v>0</v>
      </c>
      <c r="F43" s="239" t="s">
        <v>246</v>
      </c>
      <c r="H43" s="734"/>
      <c r="I43" s="734"/>
      <c r="J43" s="734"/>
      <c r="K43" s="299"/>
      <c r="Q43" s="292"/>
      <c r="R43" s="300"/>
      <c r="S43" s="301" t="str">
        <f>IF(import.recurso="FGTS","Financiamento:","Repasse:")</f>
        <v>Repasse:</v>
      </c>
      <c r="T43" s="302">
        <f ca="1">ROUND(T48,2)</f>
        <v>0</v>
      </c>
      <c r="U43" s="298">
        <f t="shared" ref="U43:AE43" ca="1" si="61">ROUND(U48,2)-ROUND(T48,2)</f>
        <v>0</v>
      </c>
      <c r="V43" s="298">
        <f t="shared" ca="1" si="61"/>
        <v>0</v>
      </c>
      <c r="W43" s="298">
        <f t="shared" ca="1" si="61"/>
        <v>0</v>
      </c>
      <c r="X43" s="298">
        <f t="shared" ca="1" si="61"/>
        <v>0</v>
      </c>
      <c r="Y43" s="298">
        <f t="shared" ca="1" si="61"/>
        <v>0</v>
      </c>
      <c r="Z43" s="298">
        <f t="shared" ca="1" si="61"/>
        <v>0</v>
      </c>
      <c r="AA43" s="298">
        <f t="shared" ca="1" si="61"/>
        <v>0</v>
      </c>
      <c r="AB43" s="298">
        <f t="shared" ca="1" si="61"/>
        <v>0</v>
      </c>
      <c r="AC43" s="298">
        <f t="shared" ca="1" si="61"/>
        <v>0</v>
      </c>
      <c r="AD43" s="298">
        <f t="shared" ca="1" si="61"/>
        <v>0</v>
      </c>
      <c r="AE43" s="303">
        <f t="shared" ca="1" si="61"/>
        <v>0</v>
      </c>
    </row>
    <row r="44" spans="1:32" ht="12.75" customHeight="1" x14ac:dyDescent="0.2">
      <c r="D44" s="298">
        <f ca="1">ROUND(D49,2)-ROUND(C49,2)</f>
        <v>0</v>
      </c>
      <c r="F44" s="239" t="s">
        <v>246</v>
      </c>
      <c r="H44" s="304"/>
      <c r="K44" s="305" t="s">
        <v>283</v>
      </c>
      <c r="Q44" s="292"/>
      <c r="R44" s="306"/>
      <c r="S44" s="307" t="s">
        <v>284</v>
      </c>
      <c r="T44" s="308">
        <f ca="1">ROUND(T49,2)</f>
        <v>0</v>
      </c>
      <c r="U44" s="309">
        <f t="shared" ref="U44:AE44" ca="1" si="62">ROUND(U49,2)-ROUND(T49,2)</f>
        <v>0</v>
      </c>
      <c r="V44" s="309">
        <f t="shared" ca="1" si="62"/>
        <v>0</v>
      </c>
      <c r="W44" s="309">
        <f t="shared" ca="1" si="62"/>
        <v>0</v>
      </c>
      <c r="X44" s="309">
        <f t="shared" ca="1" si="62"/>
        <v>0</v>
      </c>
      <c r="Y44" s="309">
        <f t="shared" ca="1" si="62"/>
        <v>0</v>
      </c>
      <c r="Z44" s="309">
        <f t="shared" ca="1" si="62"/>
        <v>0</v>
      </c>
      <c r="AA44" s="309">
        <f t="shared" ca="1" si="62"/>
        <v>0</v>
      </c>
      <c r="AB44" s="309">
        <f t="shared" ca="1" si="62"/>
        <v>0</v>
      </c>
      <c r="AC44" s="309">
        <f t="shared" ca="1" si="62"/>
        <v>0</v>
      </c>
      <c r="AD44" s="309">
        <f t="shared" ca="1" si="62"/>
        <v>0</v>
      </c>
      <c r="AE44" s="310">
        <f t="shared" ca="1" si="62"/>
        <v>0</v>
      </c>
    </row>
    <row r="45" spans="1:32" x14ac:dyDescent="0.2">
      <c r="D45" s="311">
        <f ca="1">ROUND(D50,2)-ROUND(C50,2)</f>
        <v>0</v>
      </c>
      <c r="F45" s="239" t="s">
        <v>246</v>
      </c>
      <c r="H45" s="304"/>
      <c r="K45" s="305"/>
      <c r="Q45" s="292"/>
      <c r="R45" s="312"/>
      <c r="S45" s="313" t="s">
        <v>285</v>
      </c>
      <c r="T45" s="314">
        <f ca="1">ROUND(T50,2)</f>
        <v>0</v>
      </c>
      <c r="U45" s="311">
        <f t="shared" ref="U45:AE45" ca="1" si="63">ROUND(U50,2)-ROUND(T50,2)</f>
        <v>0</v>
      </c>
      <c r="V45" s="311">
        <f t="shared" ca="1" si="63"/>
        <v>0</v>
      </c>
      <c r="W45" s="311">
        <f t="shared" ca="1" si="63"/>
        <v>0</v>
      </c>
      <c r="X45" s="311">
        <f t="shared" ca="1" si="63"/>
        <v>0</v>
      </c>
      <c r="Y45" s="311">
        <f t="shared" ca="1" si="63"/>
        <v>0</v>
      </c>
      <c r="Z45" s="311">
        <f t="shared" ca="1" si="63"/>
        <v>0</v>
      </c>
      <c r="AA45" s="311">
        <f t="shared" ca="1" si="63"/>
        <v>0</v>
      </c>
      <c r="AB45" s="311">
        <f t="shared" ca="1" si="63"/>
        <v>0</v>
      </c>
      <c r="AC45" s="311">
        <f t="shared" ca="1" si="63"/>
        <v>0</v>
      </c>
      <c r="AD45" s="311">
        <f t="shared" ca="1" si="63"/>
        <v>0</v>
      </c>
      <c r="AE45" s="315">
        <f t="shared" ca="1" si="63"/>
        <v>0</v>
      </c>
    </row>
    <row r="46" spans="1:32" x14ac:dyDescent="0.2">
      <c r="D46" s="316">
        <f ca="1">ROUND(D51,2)-ROUND(C51,2)</f>
        <v>0</v>
      </c>
      <c r="F46" s="239" t="s">
        <v>246</v>
      </c>
      <c r="K46" s="317"/>
      <c r="R46" s="318"/>
      <c r="S46" s="319" t="s">
        <v>286</v>
      </c>
      <c r="T46" s="320">
        <f ca="1">ROUND(T51,2)</f>
        <v>0</v>
      </c>
      <c r="U46" s="321">
        <f t="shared" ref="U46:AE46" ca="1" si="64">ROUND(U51,2)-ROUND(T51,2)</f>
        <v>0</v>
      </c>
      <c r="V46" s="321">
        <f t="shared" ca="1" si="64"/>
        <v>0</v>
      </c>
      <c r="W46" s="321">
        <f t="shared" ca="1" si="64"/>
        <v>0</v>
      </c>
      <c r="X46" s="321">
        <f t="shared" ca="1" si="64"/>
        <v>0</v>
      </c>
      <c r="Y46" s="321">
        <f t="shared" ca="1" si="64"/>
        <v>0</v>
      </c>
      <c r="Z46" s="321">
        <f t="shared" ca="1" si="64"/>
        <v>0</v>
      </c>
      <c r="AA46" s="321">
        <f t="shared" ca="1" si="64"/>
        <v>0</v>
      </c>
      <c r="AB46" s="321">
        <f t="shared" ca="1" si="64"/>
        <v>0</v>
      </c>
      <c r="AC46" s="321">
        <f t="shared" ca="1" si="64"/>
        <v>0</v>
      </c>
      <c r="AD46" s="321">
        <f t="shared" ca="1" si="64"/>
        <v>0</v>
      </c>
      <c r="AE46" s="322">
        <f t="shared" ca="1" si="64"/>
        <v>0</v>
      </c>
    </row>
    <row r="47" spans="1:32" x14ac:dyDescent="0.2">
      <c r="D47" s="290" t="e">
        <f ca="1">D51/$Q$42</f>
        <v>#DIV/0!</v>
      </c>
      <c r="F47" s="239" t="s">
        <v>246</v>
      </c>
      <c r="K47" s="291"/>
      <c r="R47" s="293"/>
      <c r="S47" s="294" t="s">
        <v>282</v>
      </c>
      <c r="T47" s="295" t="e">
        <f ca="1">ROUND(T51,2)/$Q$42</f>
        <v>#DIV/0!</v>
      </c>
      <c r="U47" s="296" t="e">
        <f t="shared" ref="U47:AE47" ca="1" si="65">ROUND(U51,2)/$Q$42</f>
        <v>#DIV/0!</v>
      </c>
      <c r="V47" s="296" t="e">
        <f t="shared" ca="1" si="65"/>
        <v>#DIV/0!</v>
      </c>
      <c r="W47" s="296" t="e">
        <f t="shared" ca="1" si="65"/>
        <v>#DIV/0!</v>
      </c>
      <c r="X47" s="296" t="e">
        <f t="shared" ca="1" si="65"/>
        <v>#DIV/0!</v>
      </c>
      <c r="Y47" s="296" t="e">
        <f t="shared" ca="1" si="65"/>
        <v>#DIV/0!</v>
      </c>
      <c r="Z47" s="296" t="e">
        <f t="shared" ca="1" si="65"/>
        <v>#DIV/0!</v>
      </c>
      <c r="AA47" s="296" t="e">
        <f t="shared" ca="1" si="65"/>
        <v>#DIV/0!</v>
      </c>
      <c r="AB47" s="296" t="e">
        <f t="shared" ca="1" si="65"/>
        <v>#DIV/0!</v>
      </c>
      <c r="AC47" s="296" t="e">
        <f t="shared" ca="1" si="65"/>
        <v>#DIV/0!</v>
      </c>
      <c r="AD47" s="296" t="e">
        <f t="shared" ca="1" si="65"/>
        <v>#DIV/0!</v>
      </c>
      <c r="AE47" s="297" t="e">
        <f t="shared" ca="1" si="65"/>
        <v>#DIV/0!</v>
      </c>
    </row>
    <row r="48" spans="1:32" x14ac:dyDescent="0.2">
      <c r="D48" s="298">
        <f ca="1">ROUND(D51-D50-D49,2)</f>
        <v>0</v>
      </c>
      <c r="F48" s="239" t="s">
        <v>246</v>
      </c>
      <c r="K48" s="299"/>
      <c r="R48" s="300"/>
      <c r="S48" s="301" t="str">
        <f>IF(import.recurso="FGTS","Financiamento:","Repasse:")</f>
        <v>Repasse:</v>
      </c>
      <c r="T48" s="302">
        <f ca="1">ROUND(T51-T50-T49,2)</f>
        <v>0</v>
      </c>
      <c r="U48" s="298">
        <f t="shared" ref="U48:AE48" ca="1" si="66">ROUND(U51-U50-U49,2)</f>
        <v>0</v>
      </c>
      <c r="V48" s="298">
        <f t="shared" ca="1" si="66"/>
        <v>0</v>
      </c>
      <c r="W48" s="298">
        <f t="shared" ca="1" si="66"/>
        <v>0</v>
      </c>
      <c r="X48" s="298">
        <f t="shared" ca="1" si="66"/>
        <v>0</v>
      </c>
      <c r="Y48" s="298">
        <f t="shared" ca="1" si="66"/>
        <v>0</v>
      </c>
      <c r="Z48" s="298">
        <f t="shared" ca="1" si="66"/>
        <v>0</v>
      </c>
      <c r="AA48" s="298">
        <f t="shared" ca="1" si="66"/>
        <v>0</v>
      </c>
      <c r="AB48" s="298">
        <f t="shared" ca="1" si="66"/>
        <v>0</v>
      </c>
      <c r="AC48" s="298">
        <f t="shared" ca="1" si="66"/>
        <v>0</v>
      </c>
      <c r="AD48" s="298">
        <f t="shared" ca="1" si="66"/>
        <v>0</v>
      </c>
      <c r="AE48" s="303">
        <f t="shared" ca="1" si="66"/>
        <v>0</v>
      </c>
      <c r="AF48" s="240">
        <f ca="1">AE48+SUMPRODUCT((OFFSET($B$13,1,0):OFFSET($B$41,-3,0))*IF(ISNUMBER(OFFSET(AF$11,5,0):OFFSET(AF$41,-1,0)),OFFSET(AF$11,5,0):OFFSET(AF$41,-1,0),0))</f>
        <v>0</v>
      </c>
    </row>
    <row r="49" spans="4:32" x14ac:dyDescent="0.2">
      <c r="D49" s="298">
        <f t="array" aca="1" ref="D49" ca="1">C49+SUM((OFFSET($B$13,1,0):OFFSET($B$41,-3,0))*IF(ISNUMBER(OFFSET(D$11,5,0):OFFSET(D$41,-1,0)),OFFSET(D$11,5,0):OFFSET(D$41,-1,0),0))</f>
        <v>0</v>
      </c>
      <c r="F49" s="239" t="s">
        <v>246</v>
      </c>
      <c r="K49" s="305" t="s">
        <v>287</v>
      </c>
      <c r="R49" s="306"/>
      <c r="S49" s="307" t="s">
        <v>284</v>
      </c>
      <c r="T49" s="308">
        <f t="array" aca="1" ref="T49" ca="1">SUM((OFFSET($B$13,1,0):OFFSET($B$41,-3,0))*IF(ISNUMBER(OFFSET(T$11,5,0):OFFSET(T$41,-1,0)),OFFSET(T$11,5,0):OFFSET(T$41,-1,0),0))</f>
        <v>0</v>
      </c>
      <c r="U49" s="309">
        <f t="array" aca="1" ref="U49" ca="1">T49+SUM((OFFSET($B$13,1,0):OFFSET($B$41,-3,0))*IF(ISNUMBER(OFFSET(U$11,5,0):OFFSET(U$41,-1,0)),OFFSET(U$11,5,0):OFFSET(U$41,-1,0),0))</f>
        <v>0</v>
      </c>
      <c r="V49" s="309">
        <f t="array" aca="1" ref="V49" ca="1">U49+SUM((OFFSET($B$13,1,0):OFFSET($B$41,-3,0))*IF(ISNUMBER(OFFSET(V$11,5,0):OFFSET(V$41,-1,0)),OFFSET(V$11,5,0):OFFSET(V$41,-1,0),0))</f>
        <v>0</v>
      </c>
      <c r="W49" s="309">
        <f t="array" aca="1" ref="W49" ca="1">V49+SUM((OFFSET($B$13,1,0):OFFSET($B$41,-3,0))*IF(ISNUMBER(OFFSET(W$11,5,0):OFFSET(W$41,-1,0)),OFFSET(W$11,5,0):OFFSET(W$41,-1,0),0))</f>
        <v>0</v>
      </c>
      <c r="X49" s="309">
        <f t="array" aca="1" ref="X49" ca="1">W49+SUM((OFFSET($B$13,1,0):OFFSET($B$41,-3,0))*IF(ISNUMBER(OFFSET(X$11,5,0):OFFSET(X$41,-1,0)),OFFSET(X$11,5,0):OFFSET(X$41,-1,0),0))</f>
        <v>0</v>
      </c>
      <c r="Y49" s="309">
        <f t="array" aca="1" ref="Y49" ca="1">X49+SUM((OFFSET($B$13,1,0):OFFSET($B$41,-3,0))*IF(ISNUMBER(OFFSET(Y$11,5,0):OFFSET(Y$41,-1,0)),OFFSET(Y$11,5,0):OFFSET(Y$41,-1,0),0))</f>
        <v>0</v>
      </c>
      <c r="Z49" s="309">
        <f t="array" aca="1" ref="Z49" ca="1">Y49+SUM((OFFSET($B$13,1,0):OFFSET($B$41,-3,0))*IF(ISNUMBER(OFFSET(Z$11,5,0):OFFSET(Z$41,-1,0)),OFFSET(Z$11,5,0):OFFSET(Z$41,-1,0),0))</f>
        <v>0</v>
      </c>
      <c r="AA49" s="309">
        <f t="array" aca="1" ref="AA49" ca="1">Z49+SUM((OFFSET($B$13,1,0):OFFSET($B$41,-3,0))*IF(ISNUMBER(OFFSET(AA$11,5,0):OFFSET(AA$41,-1,0)),OFFSET(AA$11,5,0):OFFSET(AA$41,-1,0),0))</f>
        <v>0</v>
      </c>
      <c r="AB49" s="309">
        <f t="array" aca="1" ref="AB49" ca="1">AA49+SUM((OFFSET($B$13,1,0):OFFSET($B$41,-3,0))*IF(ISNUMBER(OFFSET(AB$11,5,0):OFFSET(AB$41,-1,0)),OFFSET(AB$11,5,0):OFFSET(AB$41,-1,0),0))</f>
        <v>0</v>
      </c>
      <c r="AC49" s="309">
        <f t="array" aca="1" ref="AC49" ca="1">AB49+SUM((OFFSET($B$13,1,0):OFFSET($B$41,-3,0))*IF(ISNUMBER(OFFSET(AC$11,5,0):OFFSET(AC$41,-1,0)),OFFSET(AC$11,5,0):OFFSET(AC$41,-1,0),0))</f>
        <v>0</v>
      </c>
      <c r="AD49" s="309">
        <f t="array" aca="1" ref="AD49" ca="1">AC49+SUM((OFFSET($B$13,1,0):OFFSET($B$41,-3,0))*IF(ISNUMBER(OFFSET(AD$11,5,0):OFFSET(AD$41,-1,0)),OFFSET(AD$11,5,0):OFFSET(AD$41,-1,0),0))</f>
        <v>0</v>
      </c>
      <c r="AE49" s="310">
        <f t="array" aca="1" ref="AE49" ca="1">AD49+SUM((OFFSET($B$13,1,0):OFFSET($B$41,-3,0))*IF(ISNUMBER(OFFSET(AE$11,5,0):OFFSET(AE$41,-1,0)),OFFSET(AE$11,5,0):OFFSET(AE$41,-1,0),0))</f>
        <v>0</v>
      </c>
      <c r="AF49" s="240">
        <f ca="1">AE49+SUMPRODUCT((OFFSET($C$13,1,0):OFFSET($C$41,-3,0))*IF(ISNUMBER(OFFSET(AF$11,5,0):OFFSET(AF$41,-1,0)),OFFSET(AF$11,5,0):OFFSET(AF$41,-1,0),0))</f>
        <v>0</v>
      </c>
    </row>
    <row r="50" spans="4:32" x14ac:dyDescent="0.2">
      <c r="D50" s="311">
        <f t="array" aca="1" ref="D50" ca="1">C50+SUM((OFFSET($C$13,1,0):OFFSET($C$41,-3,0))*IF(ISNUMBER(OFFSET(D$11,5,0):OFFSET(D$41,-1,0)),OFFSET(D$11,5,0):OFFSET(D$41,-1,0),0))</f>
        <v>0</v>
      </c>
      <c r="F50" s="239" t="s">
        <v>246</v>
      </c>
      <c r="K50" s="305"/>
      <c r="R50" s="312"/>
      <c r="S50" s="313" t="s">
        <v>285</v>
      </c>
      <c r="T50" s="314">
        <f t="array" aca="1" ref="T50" ca="1">SUM((OFFSET($C$13,1,0):OFFSET($C$41,-3,0))*IF(ISNUMBER(OFFSET(T$11,5,0):OFFSET(T$41,-1,0)),OFFSET(T$11,5,0):OFFSET(T$41,-1,0),0))</f>
        <v>0</v>
      </c>
      <c r="U50" s="311">
        <f t="array" aca="1" ref="U50" ca="1">T50+SUM((OFFSET($C$13,1,0):OFFSET($C$41,-3,0))*IF(ISNUMBER(OFFSET(U$11,5,0):OFFSET(U$41,-1,0)),OFFSET(U$11,5,0):OFFSET(U$41,-1,0),0))</f>
        <v>0</v>
      </c>
      <c r="V50" s="311">
        <f t="array" aca="1" ref="V50" ca="1">U50+SUM((OFFSET($C$13,1,0):OFFSET($C$41,-3,0))*IF(ISNUMBER(OFFSET(V$11,5,0):OFFSET(V$41,-1,0)),OFFSET(V$11,5,0):OFFSET(V$41,-1,0),0))</f>
        <v>0</v>
      </c>
      <c r="W50" s="311">
        <f t="array" aca="1" ref="W50" ca="1">V50+SUM((OFFSET($C$13,1,0):OFFSET($C$41,-3,0))*IF(ISNUMBER(OFFSET(W$11,5,0):OFFSET(W$41,-1,0)),OFFSET(W$11,5,0):OFFSET(W$41,-1,0),0))</f>
        <v>0</v>
      </c>
      <c r="X50" s="311">
        <f t="array" aca="1" ref="X50" ca="1">W50+SUM((OFFSET($C$13,1,0):OFFSET($C$41,-3,0))*IF(ISNUMBER(OFFSET(X$11,5,0):OFFSET(X$41,-1,0)),OFFSET(X$11,5,0):OFFSET(X$41,-1,0),0))</f>
        <v>0</v>
      </c>
      <c r="Y50" s="311">
        <f t="array" aca="1" ref="Y50" ca="1">X50+SUM((OFFSET($C$13,1,0):OFFSET($C$41,-3,0))*IF(ISNUMBER(OFFSET(Y$11,5,0):OFFSET(Y$41,-1,0)),OFFSET(Y$11,5,0):OFFSET(Y$41,-1,0),0))</f>
        <v>0</v>
      </c>
      <c r="Z50" s="311">
        <f t="array" aca="1" ref="Z50" ca="1">Y50+SUM((OFFSET($C$13,1,0):OFFSET($C$41,-3,0))*IF(ISNUMBER(OFFSET(Z$11,5,0):OFFSET(Z$41,-1,0)),OFFSET(Z$11,5,0):OFFSET(Z$41,-1,0),0))</f>
        <v>0</v>
      </c>
      <c r="AA50" s="311">
        <f t="array" aca="1" ref="AA50" ca="1">Z50+SUM((OFFSET($C$13,1,0):OFFSET($C$41,-3,0))*IF(ISNUMBER(OFFSET(AA$11,5,0):OFFSET(AA$41,-1,0)),OFFSET(AA$11,5,0):OFFSET(AA$41,-1,0),0))</f>
        <v>0</v>
      </c>
      <c r="AB50" s="311">
        <f t="array" aca="1" ref="AB50" ca="1">AA50+SUM((OFFSET($C$13,1,0):OFFSET($C$41,-3,0))*IF(ISNUMBER(OFFSET(AB$11,5,0):OFFSET(AB$41,-1,0)),OFFSET(AB$11,5,0):OFFSET(AB$41,-1,0),0))</f>
        <v>0</v>
      </c>
      <c r="AC50" s="311">
        <f t="array" aca="1" ref="AC50" ca="1">AB50+SUM((OFFSET($C$13,1,0):OFFSET($C$41,-3,0))*IF(ISNUMBER(OFFSET(AC$11,5,0):OFFSET(AC$41,-1,0)),OFFSET(AC$11,5,0):OFFSET(AC$41,-1,0),0))</f>
        <v>0</v>
      </c>
      <c r="AD50" s="311">
        <f t="array" aca="1" ref="AD50" ca="1">AC50+SUM((OFFSET($C$13,1,0):OFFSET($C$41,-3,0))*IF(ISNUMBER(OFFSET(AD$11,5,0):OFFSET(AD$41,-1,0)),OFFSET(AD$11,5,0):OFFSET(AD$41,-1,0),0))</f>
        <v>0</v>
      </c>
      <c r="AE50" s="315">
        <f t="array" aca="1" ref="AE50" ca="1">AD50+SUM((OFFSET($C$13,1,0):OFFSET($C$41,-3,0))*IF(ISNUMBER(OFFSET(AE$11,5,0):OFFSET(AE$41,-1,0)),OFFSET(AE$11,5,0):OFFSET(AE$41,-1,0),0))</f>
        <v>0</v>
      </c>
      <c r="AF50" s="240">
        <f ca="1">ROUND(AF51-AF48-AF49,2)</f>
        <v>0</v>
      </c>
    </row>
    <row r="51" spans="4:32" x14ac:dyDescent="0.2">
      <c r="D51" s="316">
        <f ca="1">C51+SUMIF($R$12:$R$41,"1$",D12:D41)</f>
        <v>0</v>
      </c>
      <c r="F51" s="239" t="s">
        <v>246</v>
      </c>
      <c r="K51" s="317"/>
      <c r="R51" s="318"/>
      <c r="S51" s="319" t="s">
        <v>286</v>
      </c>
      <c r="T51" s="320">
        <f ca="1">SUMIF($R$12:$R$41,"1$",T12:T41)</f>
        <v>0</v>
      </c>
      <c r="U51" s="321">
        <f t="shared" ref="U51:AF51" ca="1" si="67">T51+SUMIF($R$12:$R$41,"1$",U12:U41)</f>
        <v>0</v>
      </c>
      <c r="V51" s="321">
        <f t="shared" ca="1" si="67"/>
        <v>0</v>
      </c>
      <c r="W51" s="321">
        <f t="shared" ca="1" si="67"/>
        <v>0</v>
      </c>
      <c r="X51" s="321">
        <f t="shared" ca="1" si="67"/>
        <v>0</v>
      </c>
      <c r="Y51" s="321">
        <f t="shared" ca="1" si="67"/>
        <v>0</v>
      </c>
      <c r="Z51" s="321">
        <f t="shared" ca="1" si="67"/>
        <v>0</v>
      </c>
      <c r="AA51" s="321">
        <f t="shared" ca="1" si="67"/>
        <v>0</v>
      </c>
      <c r="AB51" s="321">
        <f t="shared" ca="1" si="67"/>
        <v>0</v>
      </c>
      <c r="AC51" s="321">
        <f t="shared" ca="1" si="67"/>
        <v>0</v>
      </c>
      <c r="AD51" s="321">
        <f t="shared" ca="1" si="67"/>
        <v>0</v>
      </c>
      <c r="AE51" s="322">
        <f t="shared" ca="1" si="67"/>
        <v>0</v>
      </c>
      <c r="AF51" s="240">
        <f t="shared" ca="1" si="67"/>
        <v>0</v>
      </c>
    </row>
    <row r="52" spans="4:32" x14ac:dyDescent="0.2">
      <c r="F52" s="239" t="s">
        <v>246</v>
      </c>
    </row>
    <row r="53" spans="4:32" ht="32.25" customHeight="1" x14ac:dyDescent="0.2">
      <c r="F53" s="239" t="s">
        <v>246</v>
      </c>
      <c r="H53" s="716" t="str">
        <f>Import.Município</f>
        <v xml:space="preserve">SÃO FRANCISCO </v>
      </c>
      <c r="I53" s="716"/>
      <c r="J53" s="716"/>
      <c r="K53" s="716"/>
      <c r="L53" s="716"/>
      <c r="M53" s="716"/>
      <c r="N53" s="716"/>
      <c r="O53" s="716"/>
      <c r="P53" s="716"/>
      <c r="Q53" s="716"/>
      <c r="R53" s="716"/>
      <c r="Z53" s="639"/>
      <c r="AA53" s="639"/>
      <c r="AB53" s="639"/>
      <c r="AC53" s="639"/>
      <c r="AD53" s="642"/>
      <c r="AE53" s="642"/>
    </row>
    <row r="54" spans="4:32" x14ac:dyDescent="0.2">
      <c r="F54" s="239" t="s">
        <v>246</v>
      </c>
      <c r="H54" s="12" t="s">
        <v>188</v>
      </c>
      <c r="I54" s="105"/>
      <c r="J54" s="105"/>
      <c r="K54" s="105"/>
      <c r="Z54" s="230" t="s">
        <v>190</v>
      </c>
      <c r="AA54" s="230"/>
      <c r="AB54" s="230"/>
      <c r="AC54" s="230"/>
      <c r="AD54" s="239"/>
      <c r="AE54" s="239"/>
    </row>
    <row r="55" spans="4:32" x14ac:dyDescent="0.2">
      <c r="F55" s="239" t="s">
        <v>246</v>
      </c>
      <c r="H55" s="105"/>
      <c r="I55" s="105"/>
      <c r="J55" s="105"/>
      <c r="K55" s="105"/>
      <c r="Z55" s="641" t="str">
        <f t="array" aca="1" ref="Z55:Z57" ca="1">OFFSET(Import.RespOrçamento,0,-1) &amp; " " &amp; Import.RespOrçamento</f>
        <v>Nome: KÁREN MARIANA SOARES VIEIRA</v>
      </c>
      <c r="AB55" s="177"/>
      <c r="AC55" s="97"/>
      <c r="AD55" s="239"/>
      <c r="AE55" s="239"/>
    </row>
    <row r="56" spans="4:32" x14ac:dyDescent="0.2">
      <c r="F56" s="239" t="s">
        <v>246</v>
      </c>
      <c r="H56" s="726">
        <f ca="1">DADOS!$F$25</f>
        <v>45737</v>
      </c>
      <c r="I56" s="726"/>
      <c r="J56" s="726"/>
      <c r="K56" s="323"/>
      <c r="L56" s="324"/>
      <c r="M56" s="324"/>
      <c r="N56" s="324"/>
      <c r="O56" s="324"/>
      <c r="P56" s="324"/>
      <c r="Q56" s="324"/>
      <c r="R56" s="325"/>
      <c r="Z56" s="641" t="str">
        <f ca="1"/>
        <v>CREA/CAU: 332.425/D-MG</v>
      </c>
      <c r="AB56" s="97"/>
      <c r="AC56" s="97"/>
      <c r="AD56" s="239"/>
      <c r="AE56" s="239"/>
    </row>
    <row r="57" spans="4:32" x14ac:dyDescent="0.2">
      <c r="F57" s="239" t="s">
        <v>246</v>
      </c>
      <c r="H57" s="326" t="s">
        <v>189</v>
      </c>
      <c r="I57" s="106"/>
      <c r="J57" s="106"/>
      <c r="K57" s="105"/>
      <c r="Z57" s="641" t="str">
        <f ca="1"/>
        <v>ART/RRT: MG20242766780</v>
      </c>
      <c r="AB57" s="97"/>
      <c r="AC57" s="97"/>
      <c r="AD57" s="239"/>
      <c r="AE57" s="239"/>
    </row>
  </sheetData>
  <sheetProtection password="BD1F" sheet="1" objects="1" scenarios="1" autoFilter="0"/>
  <autoFilter ref="F13:F57">
    <filterColumn colId="0">
      <filters>
        <filter val="F"/>
      </filters>
    </filterColumn>
  </autoFilter>
  <mergeCells count="17">
    <mergeCell ref="F8:F11"/>
    <mergeCell ref="H8:I8"/>
    <mergeCell ref="G7:G9"/>
    <mergeCell ref="H42:J43"/>
    <mergeCell ref="G12:G13"/>
    <mergeCell ref="H12:H13"/>
    <mergeCell ref="I12:I13"/>
    <mergeCell ref="H56:J56"/>
    <mergeCell ref="AD4:AE4"/>
    <mergeCell ref="AD5:AE5"/>
    <mergeCell ref="Y8:AD8"/>
    <mergeCell ref="R12:R13"/>
    <mergeCell ref="S12:S13"/>
    <mergeCell ref="K8:S8"/>
    <mergeCell ref="T8:X8"/>
    <mergeCell ref="J10:S11"/>
    <mergeCell ref="H53:R53"/>
  </mergeCells>
  <phoneticPr fontId="38" type="noConversion"/>
  <conditionalFormatting sqref="T12:T13">
    <cfRule type="expression" dxfId="113" priority="1943" stopIfTrue="1">
      <formula>NOT(ISNUMBER(S$12))</formula>
    </cfRule>
  </conditionalFormatting>
  <conditionalFormatting sqref="D2 T2:AF2">
    <cfRule type="expression" dxfId="112" priority="1944" stopIfTrue="1">
      <formula>AND(ISNUMBER($G1),$G1&lt;&gt;0)</formula>
    </cfRule>
  </conditionalFormatting>
  <conditionalFormatting sqref="H2:R2">
    <cfRule type="expression" dxfId="111" priority="1945" stopIfTrue="1">
      <formula>$L1=2</formula>
    </cfRule>
    <cfRule type="expression" dxfId="110" priority="1946" stopIfTrue="1">
      <formula>AND($L1=1,$R1&lt;&gt;"")</formula>
    </cfRule>
  </conditionalFormatting>
  <conditionalFormatting sqref="H1:R1">
    <cfRule type="expression" dxfId="109" priority="1947" stopIfTrue="1">
      <formula>$L1=2</formula>
    </cfRule>
    <cfRule type="expression" dxfId="108" priority="1948" stopIfTrue="1">
      <formula>AND($L1=1,$R1&lt;&gt;"")</formula>
    </cfRule>
  </conditionalFormatting>
  <conditionalFormatting sqref="D42:D46 T43:AE43 T45:AE45">
    <cfRule type="expression" dxfId="107" priority="1949" stopIfTrue="1">
      <formula>D$42=0</formula>
    </cfRule>
  </conditionalFormatting>
  <conditionalFormatting sqref="D47:D51">
    <cfRule type="expression" dxfId="106" priority="1950" stopIfTrue="1">
      <formula>C$47=1</formula>
    </cfRule>
  </conditionalFormatting>
  <conditionalFormatting sqref="U47:AE47 U49:AE49 U51:AE51">
    <cfRule type="expression" dxfId="105" priority="1951" stopIfTrue="1">
      <formula>OFFSET(U$47,0,-1)&gt;=1</formula>
    </cfRule>
  </conditionalFormatting>
  <conditionalFormatting sqref="U48:AE48 U50:AE50">
    <cfRule type="expression" dxfId="104" priority="1952" stopIfTrue="1">
      <formula>OFFSET(U$47,0,-1)&gt;=1</formula>
    </cfRule>
  </conditionalFormatting>
  <conditionalFormatting sqref="T42:AE42 T44:AE44 T46:AE46">
    <cfRule type="expression" dxfId="103" priority="1953" stopIfTrue="1">
      <formula>T$42=0</formula>
    </cfRule>
  </conditionalFormatting>
  <conditionalFormatting sqref="AE7:AE8">
    <cfRule type="expression" dxfId="102" priority="1954" stopIfTrue="1">
      <formula>OR(TIPOORCAMENTO&lt;&gt;"Licitado",QCI.ExisteManual)</formula>
    </cfRule>
  </conditionalFormatting>
  <conditionalFormatting sqref="D1 T1:AE1">
    <cfRule type="expression" dxfId="101" priority="1955" stopIfTrue="1">
      <formula>D1&lt;&gt;0</formula>
    </cfRule>
  </conditionalFormatting>
  <conditionalFormatting sqref="Y7:AD8">
    <cfRule type="expression" dxfId="100" priority="1942" stopIfTrue="1">
      <formula>QCI.ExisteManual</formula>
    </cfRule>
  </conditionalFormatting>
  <conditionalFormatting sqref="D15 D18 D21 T15:AF15 T18:AF18 T21:AF21">
    <cfRule type="expression" dxfId="99" priority="103" stopIfTrue="1">
      <formula>AND(ISNUMBER($G14),$G14&lt;&gt;0)</formula>
    </cfRule>
  </conditionalFormatting>
  <conditionalFormatting sqref="H15:R15 H18:R18 H21:R21">
    <cfRule type="expression" dxfId="98" priority="104" stopIfTrue="1">
      <formula>$L14=2</formula>
    </cfRule>
    <cfRule type="expression" dxfId="97" priority="105" stopIfTrue="1">
      <formula>AND($L14=1,$R14&lt;&gt;"")</formula>
    </cfRule>
  </conditionalFormatting>
  <conditionalFormatting sqref="H14:R14 H17:R17 H20:R20">
    <cfRule type="expression" dxfId="96" priority="106" stopIfTrue="1">
      <formula>$L14=2</formula>
    </cfRule>
    <cfRule type="expression" dxfId="95" priority="107" stopIfTrue="1">
      <formula>AND($L14=1,$R14&lt;&gt;"")</formula>
    </cfRule>
  </conditionalFormatting>
  <conditionalFormatting sqref="D14 D17 D20 T14:AE14 T17:AE17 T20:AE20">
    <cfRule type="expression" dxfId="94" priority="108" stopIfTrue="1">
      <formula>D14&lt;&gt;0</formula>
    </cfRule>
  </conditionalFormatting>
  <conditionalFormatting sqref="D24 D27 D30 T24:AF24 T27:AF27 T30:AF30">
    <cfRule type="expression" dxfId="93" priority="97" stopIfTrue="1">
      <formula>AND(ISNUMBER($G23),$G23&lt;&gt;0)</formula>
    </cfRule>
  </conditionalFormatting>
  <conditionalFormatting sqref="H24:R24 H27:R27 H30:R30">
    <cfRule type="expression" dxfId="92" priority="98" stopIfTrue="1">
      <formula>$L23=2</formula>
    </cfRule>
    <cfRule type="expression" dxfId="91" priority="99" stopIfTrue="1">
      <formula>AND($L23=1,$R23&lt;&gt;"")</formula>
    </cfRule>
  </conditionalFormatting>
  <conditionalFormatting sqref="H23:R23 H26:R26 H29:R29">
    <cfRule type="expression" dxfId="90" priority="100" stopIfTrue="1">
      <formula>$L23=2</formula>
    </cfRule>
    <cfRule type="expression" dxfId="89" priority="101" stopIfTrue="1">
      <formula>AND($L23=1,$R23&lt;&gt;"")</formula>
    </cfRule>
  </conditionalFormatting>
  <conditionalFormatting sqref="D23 D26 D29 T23:AE23 T26:AE26 T29:AE29">
    <cfRule type="expression" dxfId="88" priority="102" stopIfTrue="1">
      <formula>D23&lt;&gt;0</formula>
    </cfRule>
  </conditionalFormatting>
  <conditionalFormatting sqref="D33 D36 T33:AF33 T36:AF36">
    <cfRule type="expression" dxfId="87" priority="91" stopIfTrue="1">
      <formula>AND(ISNUMBER($G32),$G32&lt;&gt;0)</formula>
    </cfRule>
  </conditionalFormatting>
  <conditionalFormatting sqref="H33:R33 H36:R36">
    <cfRule type="expression" dxfId="86" priority="92" stopIfTrue="1">
      <formula>$L32=2</formula>
    </cfRule>
    <cfRule type="expression" dxfId="85" priority="93" stopIfTrue="1">
      <formula>AND($L32=1,$R32&lt;&gt;"")</formula>
    </cfRule>
  </conditionalFormatting>
  <conditionalFormatting sqref="H32:R32 H35:R35">
    <cfRule type="expression" dxfId="84" priority="94" stopIfTrue="1">
      <formula>$L32=2</formula>
    </cfRule>
    <cfRule type="expression" dxfId="83" priority="95" stopIfTrue="1">
      <formula>AND($L32=1,$R32&lt;&gt;"")</formula>
    </cfRule>
  </conditionalFormatting>
  <conditionalFormatting sqref="D32 D35 T32:AE32 T35:AE35">
    <cfRule type="expression" dxfId="82" priority="96" stopIfTrue="1">
      <formula>D32&lt;&gt;0</formula>
    </cfRule>
  </conditionalFormatting>
  <conditionalFormatting sqref="D39 T39:AF39">
    <cfRule type="expression" dxfId="81" priority="1" stopIfTrue="1">
      <formula>AND(ISNUMBER($G38),$G38&lt;&gt;0)</formula>
    </cfRule>
  </conditionalFormatting>
  <conditionalFormatting sqref="H39:R39">
    <cfRule type="expression" dxfId="80" priority="2" stopIfTrue="1">
      <formula>$L38=2</formula>
    </cfRule>
    <cfRule type="expression" dxfId="79" priority="3" stopIfTrue="1">
      <formula>AND($L38=1,$R38&lt;&gt;"")</formula>
    </cfRule>
  </conditionalFormatting>
  <conditionalFormatting sqref="H38:R38">
    <cfRule type="expression" dxfId="78" priority="4" stopIfTrue="1">
      <formula>$L38=2</formula>
    </cfRule>
    <cfRule type="expression" dxfId="77" priority="5" stopIfTrue="1">
      <formula>AND($L38=1,$R38&lt;&gt;"")</formula>
    </cfRule>
  </conditionalFormatting>
  <conditionalFormatting sqref="D38 T38:AE38">
    <cfRule type="expression" dxfId="76" priority="6" stopIfTrue="1">
      <formula>D38&lt;&gt;0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D26 D29 T23:AE23 T26:AE26 T29:AE29 D32 D35 T32:AE32 T35:AE35 D38 T38:AE38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D27 D30 T24:AF24 T27:AF27 T30:AF30 D33 D36 T33:AF33 T36:AF36 D39 T39:AF39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ageMargins left="0.78740157480314998" right="0.78740157480314998" top="0.78740157480314998" bottom="0.78740157480314998" header="0.59055118110236204" footer="0.59055118110236204"/>
  <pageSetup paperSize="9" scale="66" firstPageNumber="0" orientation="landscape" r:id="rId1"/>
  <headerFooter alignWithMargins="0">
    <oddHeader>&amp;C&amp;14I</oddHeader>
    <oddFooter>&amp;LPMv3.0.6&amp;R&amp;P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4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O31" sqref="O31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9" t="e">
        <f ca="1">IF(AUTOEVENTO="Manual",IF(OFFSET(EVENTOS!$F$14,CRONOPLE!$B1,0)&gt;0,"F",""),IF(CRONOPLE!B1&lt;=MAX(CÁLCULO!$M$15:$M$58),"F",""))</f>
        <v>#REF!</v>
      </c>
      <c r="B1" s="327" t="e">
        <f ca="1">OFFSET(B1,-1,0)+1</f>
        <v>#REF!</v>
      </c>
      <c r="C1" s="328" t="e">
        <f ca="1">IF(AUTOEVENTO="Manual",IF($B1&lt;&gt;1,OFFSET(EVENTOS!$D$14,$B1,0),0),IF(B1&lt;=MAX(CÁLCULO!$M$15:$M$58),VLOOKUP($B1,CÁLCULO!$M$15:$N$58,2,FALSE),0))</f>
        <v>#REF!</v>
      </c>
      <c r="E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103" t="s">
        <v>288</v>
      </c>
    </row>
    <row r="7" spans="1:31" x14ac:dyDescent="0.2">
      <c r="B7" t="s">
        <v>289</v>
      </c>
    </row>
    <row r="9" spans="1:31" ht="15" x14ac:dyDescent="0.25">
      <c r="B9" s="330" t="str">
        <f ca="1">IF(ACOMPANHAMENTO="BM","NO ACOMPANHAMENTO POR BM, UTILIZE A ABA CRONO",IF(MAX($B$14:$B$24)&lt;MAX(CÁLCULO!$M$15:$M$58),"ERRO: NÚMERO DE EVENTOS INSUFICIENTE, CLIQUE EM ATUALIZAR LINHAS",IF(ROUND(OFFSET(CRONO!$AF$51,0,-1),2)&lt;&gt;CRONO!$Q$42,"ERRO: CRONOGRAMA NÃO FECHA 100%","")))</f>
        <v/>
      </c>
    </row>
    <row r="11" spans="1:31" ht="65.25" customHeight="1" x14ac:dyDescent="0.2">
      <c r="A11" s="331"/>
      <c r="C11" s="332"/>
      <c r="E11" s="333" t="str">
        <f ca="1">IF(E$12&gt;CÁLCULO.NúmeroDeFrentes,"",OFFSET(CÁLCULO!$P$12,0,E$12))</f>
        <v xml:space="preserve">RUA ALPIDIO CANABRAVA </v>
      </c>
      <c r="G11" s="333" t="str">
        <f ca="1">IF(G$12&gt;CÁLCULO.NúmeroDeFrentes,"",OFFSET(CÁLCULO!$P$12,0,G$12))</f>
        <v xml:space="preserve">RUA ALPIDIO CANABRAVA </v>
      </c>
      <c r="H11" s="333" t="str">
        <f ca="1">IF(H$12&gt;CÁLCULO.NúmeroDeFrentes,"",OFFSET(CÁLCULO!$P$12,0,H$12))</f>
        <v>RUA UM TRECHO 01</v>
      </c>
      <c r="I11" s="333" t="str">
        <f ca="1">IF(I$12&gt;CÁLCULO.NúmeroDeFrentes,"",OFFSET(CÁLCULO!$P$12,0,I$12))</f>
        <v>RUA ARISTEU MACIEL T1</v>
      </c>
      <c r="J11" s="333" t="str">
        <f ca="1">IF(J$12&gt;CÁLCULO.NúmeroDeFrentes,"",OFFSET(CÁLCULO!$P$12,0,J$12))</f>
        <v>RUA D</v>
      </c>
      <c r="K11" s="333" t="str">
        <f ca="1">IF(K$12&gt;CÁLCULO.NúmeroDeFrentes,"",OFFSET(CÁLCULO!$P$12,0,K$12))</f>
        <v>RUA F</v>
      </c>
      <c r="L11" s="333" t="str">
        <f ca="1">IF(L$12&gt;CÁLCULO.NúmeroDeFrentes,"",OFFSET(CÁLCULO!$P$12,0,L$12))</f>
        <v>RUA PADRE NICOLAU</v>
      </c>
      <c r="M11" s="333" t="str">
        <f ca="1">IF(M$12&gt;CÁLCULO.NúmeroDeFrentes,"",OFFSET(CÁLCULO!$P$12,0,M$12))</f>
        <v xml:space="preserve">RUA SEM NOME </v>
      </c>
      <c r="N11" s="333" t="str">
        <f ca="1">IF(N$12&gt;CÁLCULO.NúmeroDeFrentes,"",OFFSET(CÁLCULO!$P$12,0,N$12))</f>
        <v xml:space="preserve">RUA ASTROGILDO RODRIGUES CORDEIRO </v>
      </c>
      <c r="O11" s="333" t="str">
        <f ca="1">IF(O$12&gt;CÁLCULO.NúmeroDeFrentes,"",OFFSET(CÁLCULO!$P$12,0,O$12))</f>
        <v>RUA UM TRECHO 2</v>
      </c>
      <c r="P11" s="333" t="str">
        <f ca="1">IF(P$12&gt;CÁLCULO.NúmeroDeFrentes,"",OFFSET(CÁLCULO!$P$12,0,P$12))</f>
        <v>RUA ARISTEU MACIEL T2</v>
      </c>
      <c r="Q11" s="333" t="str">
        <f ca="1">IF(Q$12&gt;CÁLCULO.NúmeroDeFrentes,"",OFFSET(CÁLCULO!$P$12,0,Q$12))</f>
        <v>RUA DEPUTADO JORGE VARGAS T1</v>
      </c>
      <c r="R11" s="333" t="str">
        <f ca="1">IF(R$12&gt;CÁLCULO.NúmeroDeFrentes,"",OFFSET(CÁLCULO!$P$12,0,R$12))</f>
        <v>RUA DEPUTADO JORGE VARGAS T2</v>
      </c>
      <c r="S11" s="333">
        <f ca="1">IF(S$12&gt;CÁLCULO.NúmeroDeFrentes,"",OFFSET(CÁLCULO!$P$12,0,S$12))</f>
        <v>0</v>
      </c>
      <c r="T11" s="333">
        <f ca="1">IF(T$12&gt;CÁLCULO.NúmeroDeFrentes,"",OFFSET(CÁLCULO!$P$12,0,T$12))</f>
        <v>0</v>
      </c>
      <c r="U11" s="333">
        <f ca="1">IF(U$12&gt;CÁLCULO.NúmeroDeFrentes,"",OFFSET(CÁLCULO!$P$12,0,U$12))</f>
        <v>0</v>
      </c>
      <c r="V11" s="333">
        <f ca="1">IF(V$12&gt;CÁLCULO.NúmeroDeFrentes,"",OFFSET(CÁLCULO!$P$12,0,V$12))</f>
        <v>0</v>
      </c>
      <c r="W11" s="333">
        <f ca="1">IF(W$12&gt;CÁLCULO.NúmeroDeFrentes,"",OFFSET(CÁLCULO!$P$12,0,W$12))</f>
        <v>0</v>
      </c>
      <c r="X11" s="333">
        <f ca="1">IF(X$12&gt;CÁLCULO.NúmeroDeFrentes,"",OFFSET(CÁLCULO!$P$12,0,X$12))</f>
        <v>0</v>
      </c>
      <c r="Y11" s="333" t="str">
        <f ca="1">IF(Y$12&gt;CÁLCULO.NúmeroDeFrentes,"",OFFSET(CÁLCULO!$P$12,0,Y$12))</f>
        <v/>
      </c>
      <c r="Z11" s="333" t="str">
        <f ca="1">IF(Z$12&gt;CÁLCULO.NúmeroDeFrentes,"",OFFSET(CÁLCULO!$P$12,0,Z$12))</f>
        <v/>
      </c>
      <c r="AA11" s="333" t="str">
        <f ca="1">IF(AA$12&gt;CÁLCULO.NúmeroDeFrentes,"",OFFSET(CÁLCULO!$P$12,0,AA$12))</f>
        <v/>
      </c>
      <c r="AB11" s="333" t="str">
        <f ca="1">IF(AB$12&gt;CÁLCULO.NúmeroDeFrentes,"",OFFSET(CÁLCULO!$P$12,0,AB$12))</f>
        <v/>
      </c>
      <c r="AC11" s="333" t="str">
        <f ca="1">IF(AC$12&gt;CÁLCULO.NúmeroDeFrentes,"",OFFSET(CÁLCULO!$P$12,0,AC$12))</f>
        <v/>
      </c>
      <c r="AD11" s="333" t="str">
        <f ca="1">IF(AD$12&gt;CÁLCULO.NúmeroDeFrentes,"",OFFSET(CÁLCULO!$P$12,0,AD$12))</f>
        <v/>
      </c>
      <c r="AE11" s="333" t="str">
        <f ca="1">IF(AE$12&gt;CÁLCULO.NúmeroDeFrentes,"",OFFSET(CÁLCULO!$P$12,0,AE$12))</f>
        <v/>
      </c>
    </row>
    <row r="12" spans="1:31" ht="12.75" customHeight="1" x14ac:dyDescent="0.2">
      <c r="A12" s="136"/>
      <c r="B12" s="738" t="s">
        <v>266</v>
      </c>
      <c r="C12" s="738" t="s">
        <v>291</v>
      </c>
      <c r="E12" s="334">
        <f ca="1">OFFSET(E12,0,-1)+1</f>
        <v>1</v>
      </c>
      <c r="G12" s="334">
        <f ca="1">OFFSET(G12,0,-1)+1</f>
        <v>1</v>
      </c>
      <c r="H12" s="334">
        <f ca="1">OFFSET(H12,0,-1)+1</f>
        <v>2</v>
      </c>
      <c r="I12" s="334">
        <f t="shared" ref="I12:AE12" ca="1" si="0">OFFSET(I12,0,-1)+1</f>
        <v>3</v>
      </c>
      <c r="J12" s="334">
        <f t="shared" ca="1" si="0"/>
        <v>4</v>
      </c>
      <c r="K12" s="334">
        <f t="shared" ca="1" si="0"/>
        <v>5</v>
      </c>
      <c r="L12" s="334">
        <f t="shared" ca="1" si="0"/>
        <v>6</v>
      </c>
      <c r="M12" s="334">
        <f t="shared" ca="1" si="0"/>
        <v>7</v>
      </c>
      <c r="N12" s="334">
        <f t="shared" ca="1" si="0"/>
        <v>8</v>
      </c>
      <c r="O12" s="334">
        <f t="shared" ca="1" si="0"/>
        <v>9</v>
      </c>
      <c r="P12" s="334">
        <f t="shared" ca="1" si="0"/>
        <v>10</v>
      </c>
      <c r="Q12" s="334">
        <f t="shared" ca="1" si="0"/>
        <v>11</v>
      </c>
      <c r="R12" s="334">
        <f t="shared" ca="1" si="0"/>
        <v>12</v>
      </c>
      <c r="S12" s="334">
        <f t="shared" ca="1" si="0"/>
        <v>13</v>
      </c>
      <c r="T12" s="334">
        <f t="shared" ca="1" si="0"/>
        <v>14</v>
      </c>
      <c r="U12" s="334">
        <f t="shared" ca="1" si="0"/>
        <v>15</v>
      </c>
      <c r="V12" s="334">
        <f t="shared" ca="1" si="0"/>
        <v>16</v>
      </c>
      <c r="W12" s="334">
        <f t="shared" ca="1" si="0"/>
        <v>17</v>
      </c>
      <c r="X12" s="334">
        <f t="shared" ca="1" si="0"/>
        <v>18</v>
      </c>
      <c r="Y12" s="334">
        <f t="shared" ca="1" si="0"/>
        <v>19</v>
      </c>
      <c r="Z12" s="334">
        <f t="shared" ca="1" si="0"/>
        <v>20</v>
      </c>
      <c r="AA12" s="334">
        <f t="shared" ca="1" si="0"/>
        <v>21</v>
      </c>
      <c r="AB12" s="334">
        <f t="shared" ca="1" si="0"/>
        <v>22</v>
      </c>
      <c r="AC12" s="334">
        <f t="shared" ca="1" si="0"/>
        <v>23</v>
      </c>
      <c r="AD12" s="334">
        <f t="shared" ca="1" si="0"/>
        <v>24</v>
      </c>
      <c r="AE12" s="334">
        <f t="shared" ca="1" si="0"/>
        <v>25</v>
      </c>
    </row>
    <row r="13" spans="1:31" x14ac:dyDescent="0.2">
      <c r="B13" s="738"/>
      <c r="C13" s="738"/>
      <c r="E13" s="335"/>
      <c r="G13" s="336"/>
      <c r="H13" s="335"/>
      <c r="I13" s="335"/>
      <c r="J13" s="335"/>
      <c r="K13" s="335"/>
      <c r="L13" s="335"/>
      <c r="M13" s="335" t="s">
        <v>292</v>
      </c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7"/>
    </row>
    <row r="14" spans="1:31" ht="7.5" customHeight="1" x14ac:dyDescent="0.2">
      <c r="A14" s="9"/>
    </row>
    <row r="15" spans="1:31" x14ac:dyDescent="0.2">
      <c r="A15" s="9"/>
      <c r="B15" s="338">
        <v>1</v>
      </c>
      <c r="C15" s="339" t="s">
        <v>269</v>
      </c>
      <c r="E15" s="340"/>
      <c r="G15" s="341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2"/>
    </row>
    <row r="16" spans="1:31" x14ac:dyDescent="0.2">
      <c r="A16" s="9" t="str">
        <f ca="1">IF(AUTOEVENTO="Manual",IF(OFFSET(EVENTOS!$F$14,CRONOPLE!$B16,0)&gt;0,"F",""),IF(CRONOPLE!B16&lt;=MAX(CÁLCULO!$M$15:$M$58),"F",""))</f>
        <v>F</v>
      </c>
      <c r="B16" s="327">
        <f t="shared" ref="B16:B22" ca="1" si="1">OFFSET(B16,-1,0)+1</f>
        <v>2</v>
      </c>
      <c r="C16" s="328" t="str">
        <f ca="1">IF(AUTOEVENTO="Manual",IF($B16&lt;&gt;1,OFFSET(EVENTOS!$D$14,$B16,0),0),IF(B16&lt;=MAX(CÁLCULO!$M$15:$M$58),VLOOKUP($B16,CÁLCULO!$M$15:$N$58,2,FALSE),0))</f>
        <v>SERVIÇOS PRELIMINARES</v>
      </c>
      <c r="E16" s="329"/>
      <c r="G16" s="329">
        <v>1</v>
      </c>
      <c r="H16" s="329">
        <v>1</v>
      </c>
      <c r="I16" s="329">
        <v>2</v>
      </c>
      <c r="J16" s="329">
        <v>2</v>
      </c>
      <c r="K16" s="329">
        <v>3</v>
      </c>
      <c r="L16" s="329">
        <v>4</v>
      </c>
      <c r="M16" s="329"/>
      <c r="N16" s="329">
        <v>4</v>
      </c>
      <c r="O16" s="329">
        <v>5</v>
      </c>
      <c r="P16" s="329">
        <v>5</v>
      </c>
      <c r="Q16" s="329">
        <v>6</v>
      </c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</row>
    <row r="17" spans="1:31" x14ac:dyDescent="0.2">
      <c r="A17" s="9" t="str">
        <f ca="1">IF(AUTOEVENTO="Manual",IF(OFFSET(EVENTOS!$F$14,CRONOPLE!$B17,0)&gt;0,"F",""),IF(CRONOPLE!B17&lt;=MAX(CÁLCULO!$M$15:$M$58),"F",""))</f>
        <v>F</v>
      </c>
      <c r="B17" s="327">
        <f t="shared" ca="1" si="1"/>
        <v>3</v>
      </c>
      <c r="C17" s="328" t="str">
        <f ca="1">IF(AUTOEVENTO="Manual",IF($B17&lt;&gt;1,OFFSET(EVENTOS!$D$14,$B17,0),0),IF(B17&lt;=MAX(CÁLCULO!$M$15:$M$58),VLOOKUP($B17,CÁLCULO!$M$15:$N$58,2,FALSE),0))</f>
        <v xml:space="preserve">TERRAPLANAGEM </v>
      </c>
      <c r="E17" s="329"/>
      <c r="G17" s="329">
        <v>1</v>
      </c>
      <c r="H17" s="329">
        <v>1</v>
      </c>
      <c r="I17" s="329">
        <v>2</v>
      </c>
      <c r="J17" s="329">
        <v>2</v>
      </c>
      <c r="K17" s="329">
        <v>3</v>
      </c>
      <c r="L17" s="329">
        <v>4</v>
      </c>
      <c r="M17" s="329">
        <v>4</v>
      </c>
      <c r="N17" s="329">
        <v>4</v>
      </c>
      <c r="O17" s="329">
        <v>5</v>
      </c>
      <c r="P17" s="329">
        <v>5</v>
      </c>
      <c r="Q17" s="329">
        <v>6</v>
      </c>
      <c r="R17" s="329">
        <v>6</v>
      </c>
      <c r="S17" s="329">
        <v>6</v>
      </c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</row>
    <row r="18" spans="1:31" x14ac:dyDescent="0.2">
      <c r="A18" s="9" t="str">
        <f ca="1">IF(AUTOEVENTO="Manual",IF(OFFSET(EVENTOS!$F$14,CRONOPLE!$B18,0)&gt;0,"F",""),IF(CRONOPLE!B18&lt;=MAX(CÁLCULO!$M$15:$M$58),"F",""))</f>
        <v>F</v>
      </c>
      <c r="B18" s="327">
        <f t="shared" ca="1" si="1"/>
        <v>4</v>
      </c>
      <c r="C18" s="328" t="str">
        <f ca="1">IF(AUTOEVENTO="Manual",IF($B18&lt;&gt;1,OFFSET(EVENTOS!$D$14,$B18,0),0),IF(B18&lt;=MAX(CÁLCULO!$M$15:$M$58),VLOOKUP($B18,CÁLCULO!$M$15:$N$58,2,FALSE),0))</f>
        <v>IMPRIMAÇÃO</v>
      </c>
      <c r="E18" s="329"/>
      <c r="G18" s="329">
        <v>1</v>
      </c>
      <c r="H18" s="329">
        <v>1</v>
      </c>
      <c r="I18" s="329">
        <v>2</v>
      </c>
      <c r="J18" s="329">
        <v>2</v>
      </c>
      <c r="K18" s="329">
        <v>3</v>
      </c>
      <c r="L18" s="329">
        <v>4</v>
      </c>
      <c r="M18" s="329">
        <v>4</v>
      </c>
      <c r="N18" s="329">
        <v>4</v>
      </c>
      <c r="O18" s="329">
        <v>5</v>
      </c>
      <c r="P18" s="329">
        <v>5</v>
      </c>
      <c r="Q18" s="329">
        <v>6</v>
      </c>
      <c r="R18" s="329">
        <v>6</v>
      </c>
      <c r="S18" s="329">
        <v>6</v>
      </c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</row>
    <row r="19" spans="1:31" x14ac:dyDescent="0.2">
      <c r="A19" s="9" t="str">
        <f ca="1">IF(AUTOEVENTO="Manual",IF(OFFSET(EVENTOS!$F$14,CRONOPLE!$B19,0)&gt;0,"F",""),IF(CRONOPLE!B19&lt;=MAX(CÁLCULO!$M$15:$M$58),"F",""))</f>
        <v>F</v>
      </c>
      <c r="B19" s="327">
        <f t="shared" ca="1" si="1"/>
        <v>5</v>
      </c>
      <c r="C19" s="328" t="str">
        <f ca="1">IF(AUTOEVENTO="Manual",IF($B19&lt;&gt;1,OFFSET(EVENTOS!$D$14,$B19,0),0),IF(B19&lt;=MAX(CÁLCULO!$M$15:$M$58),VLOOKUP($B19,CÁLCULO!$M$15:$N$58,2,FALSE),0))</f>
        <v>PINTURA DE LIGAÇÃO</v>
      </c>
      <c r="E19" s="329"/>
      <c r="G19" s="329">
        <v>1</v>
      </c>
      <c r="H19" s="329">
        <v>1</v>
      </c>
      <c r="I19" s="329">
        <v>2</v>
      </c>
      <c r="J19" s="329">
        <v>2</v>
      </c>
      <c r="K19" s="329">
        <v>3</v>
      </c>
      <c r="L19" s="329">
        <v>4</v>
      </c>
      <c r="M19" s="329">
        <v>4</v>
      </c>
      <c r="N19" s="329">
        <v>4</v>
      </c>
      <c r="O19" s="329">
        <v>5</v>
      </c>
      <c r="P19" s="329">
        <v>5</v>
      </c>
      <c r="Q19" s="329">
        <v>6</v>
      </c>
      <c r="R19" s="329">
        <v>6</v>
      </c>
      <c r="S19" s="329">
        <v>6</v>
      </c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</row>
    <row r="20" spans="1:31" x14ac:dyDescent="0.2">
      <c r="A20" s="9" t="str">
        <f ca="1">IF(AUTOEVENTO="Manual",IF(OFFSET(EVENTOS!$F$14,CRONOPLE!$B20,0)&gt;0,"F",""),IF(CRONOPLE!B20&lt;=MAX(CÁLCULO!$M$15:$M$58),"F",""))</f>
        <v>F</v>
      </c>
      <c r="B20" s="327">
        <f t="shared" ca="1" si="1"/>
        <v>6</v>
      </c>
      <c r="C20" s="328" t="str">
        <f ca="1">IF(AUTOEVENTO="Manual",IF($B20&lt;&gt;1,OFFSET(EVENTOS!$D$14,$B20,0),0),IF(B20&lt;=MAX(CÁLCULO!$M$15:$M$58),VLOOKUP($B20,CÁLCULO!$M$15:$N$58,2,FALSE),0))</f>
        <v xml:space="preserve">PAVIMENTAÇÃO </v>
      </c>
      <c r="E20" s="329"/>
      <c r="G20" s="329">
        <v>1</v>
      </c>
      <c r="H20" s="329">
        <v>1</v>
      </c>
      <c r="I20" s="329">
        <v>2</v>
      </c>
      <c r="J20" s="329">
        <v>2</v>
      </c>
      <c r="K20" s="329">
        <v>3</v>
      </c>
      <c r="L20" s="329">
        <v>4</v>
      </c>
      <c r="M20" s="329">
        <v>4</v>
      </c>
      <c r="N20" s="329">
        <v>4</v>
      </c>
      <c r="O20" s="329">
        <v>5</v>
      </c>
      <c r="P20" s="329">
        <v>5</v>
      </c>
      <c r="Q20" s="329">
        <v>6</v>
      </c>
      <c r="R20" s="329">
        <v>6</v>
      </c>
      <c r="S20" s="329">
        <v>6</v>
      </c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</row>
    <row r="21" spans="1:31" x14ac:dyDescent="0.2">
      <c r="A21" s="9" t="str">
        <f ca="1">IF(AUTOEVENTO="Manual",IF(OFFSET(EVENTOS!$F$14,CRONOPLE!$B21,0)&gt;0,"F",""),IF(CRONOPLE!B21&lt;=MAX(CÁLCULO!$M$15:$M$58),"F",""))</f>
        <v>F</v>
      </c>
      <c r="B21" s="327">
        <f t="shared" ca="1" si="1"/>
        <v>7</v>
      </c>
      <c r="C21" s="328" t="str">
        <f ca="1">IF(AUTOEVENTO="Manual",IF($B21&lt;&gt;1,OFFSET(EVENTOS!$D$14,$B21,0),0),IF(B21&lt;=MAX(CÁLCULO!$M$15:$M$58),VLOOKUP($B21,CÁLCULO!$M$15:$N$58,2,FALSE),0))</f>
        <v xml:space="preserve">MEIO-FIO E DRENAGEM </v>
      </c>
      <c r="E21" s="329"/>
      <c r="G21" s="329">
        <v>1</v>
      </c>
      <c r="H21" s="329">
        <v>1</v>
      </c>
      <c r="I21" s="329">
        <v>2</v>
      </c>
      <c r="J21" s="329">
        <v>2</v>
      </c>
      <c r="K21" s="329">
        <v>3</v>
      </c>
      <c r="L21" s="329">
        <v>4</v>
      </c>
      <c r="M21" s="329">
        <v>4</v>
      </c>
      <c r="N21" s="329">
        <v>4</v>
      </c>
      <c r="O21" s="329">
        <v>5</v>
      </c>
      <c r="P21" s="329">
        <v>5</v>
      </c>
      <c r="Q21" s="329">
        <v>6</v>
      </c>
      <c r="R21" s="329">
        <v>6</v>
      </c>
      <c r="S21" s="329">
        <v>6</v>
      </c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</row>
    <row r="22" spans="1:31" x14ac:dyDescent="0.2">
      <c r="A22" s="9" t="str">
        <f ca="1">IF(AUTOEVENTO="Manual",IF(OFFSET(EVENTOS!$F$14,CRONOPLE!$B22,0)&gt;0,"F",""),IF(CRONOPLE!B22&lt;=MAX(CÁLCULO!$M$15:$M$58),"F",""))</f>
        <v>F</v>
      </c>
      <c r="B22" s="327">
        <f t="shared" ca="1" si="1"/>
        <v>8</v>
      </c>
      <c r="C22" s="328" t="str">
        <f ca="1">IF(AUTOEVENTO="Manual",IF($B22&lt;&gt;1,OFFSET(EVENTOS!$D$14,$B22,0),0),IF(B22&lt;=MAX(CÁLCULO!$M$15:$M$58),VLOOKUP($B22,CÁLCULO!$M$15:$N$58,2,FALSE),0))</f>
        <v>PASSEIO E SINALIZAÇÃO</v>
      </c>
      <c r="E22" s="329"/>
      <c r="G22" s="329">
        <v>7</v>
      </c>
      <c r="H22" s="329">
        <v>7</v>
      </c>
      <c r="I22" s="329">
        <v>7</v>
      </c>
      <c r="J22" s="329">
        <v>7</v>
      </c>
      <c r="K22" s="329">
        <v>7</v>
      </c>
      <c r="L22" s="329">
        <v>7</v>
      </c>
      <c r="M22" s="329">
        <v>7</v>
      </c>
      <c r="N22" s="329">
        <v>7</v>
      </c>
      <c r="O22" s="329">
        <v>7</v>
      </c>
      <c r="P22" s="329">
        <v>7</v>
      </c>
      <c r="Q22" s="329">
        <v>7</v>
      </c>
      <c r="R22" s="329">
        <v>7</v>
      </c>
      <c r="S22" s="329">
        <v>7</v>
      </c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</row>
    <row r="23" spans="1:31" x14ac:dyDescent="0.2">
      <c r="A23" s="9" t="str">
        <f ca="1">IF(AUTOEVENTO="Manual",IF(OFFSET(EVENTOS!$F$14,CRONOPLE!$B23,0)&gt;0,"F",""),IF(CRONOPLE!B23&lt;=MAX(CÁLCULO!$M$15:$M$58),"F",""))</f>
        <v>F</v>
      </c>
      <c r="B23" s="327">
        <f ca="1">OFFSET(B23,-1,0)+1</f>
        <v>9</v>
      </c>
      <c r="C23" s="667" t="str">
        <f ca="1">IF(AUTOEVENTO="Manual",IF($B23&lt;&gt;1,OFFSET(EVENTOS!$D$14,$B23,0),0),IF(B23&lt;=MAX(CÁLCULO!$M$15:$M$58),VLOOKUP($B23,CÁLCULO!$M$15:$N$58,2,FALSE),0))</f>
        <v xml:space="preserve">DRENAGEM </v>
      </c>
      <c r="E23" s="329"/>
      <c r="G23" s="329"/>
      <c r="H23" s="329"/>
      <c r="I23" s="329"/>
      <c r="J23" s="329"/>
      <c r="K23" s="329"/>
      <c r="L23" s="329">
        <v>3</v>
      </c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</row>
    <row r="24" spans="1:31" ht="5.0999999999999996" customHeight="1" x14ac:dyDescent="0.2">
      <c r="B24" s="591"/>
      <c r="C24" s="592"/>
      <c r="E24" s="343"/>
      <c r="F24" s="343"/>
      <c r="G24" s="591"/>
      <c r="H24" s="593"/>
      <c r="I24" s="593"/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/>
      <c r="AA24" s="593"/>
      <c r="AB24" s="593"/>
      <c r="AC24" s="593"/>
      <c r="AD24" s="593"/>
      <c r="AE24" s="592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">
    <cfRule type="expression" dxfId="75" priority="110" stopIfTrue="1">
      <formula>IF(OR(E$12&gt;CÁLCULO.NúmeroDeFrentes,ACOMPANHAMENTO="BM"),TRUE,CRONOPLE.ValorDoEvento=0)</formula>
    </cfRule>
  </conditionalFormatting>
  <conditionalFormatting sqref="E16:E22 G16:AE22">
    <cfRule type="expression" dxfId="74" priority="7" stopIfTrue="1">
      <formula>IF(OR(E$12&gt;CÁLCULO.NúmeroDeFrentes,ACOMPANHAMENTO="BM"),TRUE,CRONOPLE.ValorDoEvento=0)</formula>
    </cfRule>
  </conditionalFormatting>
  <conditionalFormatting sqref="E23 G23:AE23">
    <cfRule type="expression" dxfId="73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23 G16:AE23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horizontalDpi="300" verticalDpi="300" r:id="rId1"/>
  <headerFooter alignWithMargins="0">
    <oddHeader>&amp;L_&amp;C&amp;14I</oddHeader>
    <oddFooter>&amp;LPMv3.0.6&amp;R&amp;P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18</vt:i4>
      </vt:variant>
    </vt:vector>
  </HeadingPairs>
  <TitlesOfParts>
    <vt:vector size="32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BDI!Titulos_de_impressao</vt:lpstr>
      <vt:lpstr>BM!Titulos_de_impressao</vt:lpstr>
      <vt:lpstr>CÁLCULO!Titulos_de_impressao</vt:lpstr>
      <vt:lpstr>CRONO!Titulos_de_impressao</vt:lpstr>
      <vt:lpstr>ORÇAMENTO!Titulos_de_impressao</vt:lpstr>
      <vt:lpstr>PLE!Titulos_de_impressao</vt:lpstr>
      <vt:lpstr>QCI!Titulos_de_impressao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Setor de Compras</cp:lastModifiedBy>
  <cp:revision>5</cp:revision>
  <cp:lastPrinted>2025-03-13T16:15:38Z</cp:lastPrinted>
  <dcterms:created xsi:type="dcterms:W3CDTF">1997-01-10T22:22:50Z</dcterms:created>
  <dcterms:modified xsi:type="dcterms:W3CDTF">2025-03-21T13:43:09Z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Enabled">
    <vt:lpwstr>true</vt:lpwstr>
  </property>
  <property fmtid="{D5CDD505-2E9C-101B-9397-08002B2CF9AE}" pid="3" name="MSIP_Label_fde7aacd-7cc4-4c31-9e6f-7ef306428f09_SetDate">
    <vt:lpwstr>2023-11-21T19:16:23Z</vt:lpwstr>
  </property>
  <property fmtid="{D5CDD505-2E9C-101B-9397-08002B2CF9AE}" pid="4" name="MSIP_Label_fde7aacd-7cc4-4c31-9e6f-7ef306428f09_Method">
    <vt:lpwstr>Privileged</vt:lpwstr>
  </property>
  <property fmtid="{D5CDD505-2E9C-101B-9397-08002B2CF9AE}" pid="5" name="MSIP_Label_fde7aacd-7cc4-4c31-9e6f-7ef306428f09_Name">
    <vt:lpwstr>_PUBLICO</vt:lpwstr>
  </property>
  <property fmtid="{D5CDD505-2E9C-101B-9397-08002B2CF9AE}" pid="6" name="MSIP_Label_fde7aacd-7cc4-4c31-9e6f-7ef306428f09_SiteId">
    <vt:lpwstr>ab9bba98-684a-43fb-add8-9c2bebede229</vt:lpwstr>
  </property>
  <property fmtid="{D5CDD505-2E9C-101B-9397-08002B2CF9AE}" pid="7" name="MSIP_Label_fde7aacd-7cc4-4c31-9e6f-7ef306428f09_ActionId">
    <vt:lpwstr>a35afa61-0e86-4f3f-84ac-6edb60dde1d6</vt:lpwstr>
  </property>
  <property fmtid="{D5CDD505-2E9C-101B-9397-08002B2CF9AE}" pid="8" name="MSIP_Label_fde7aacd-7cc4-4c31-9e6f-7ef306428f09_ContentBits">
    <vt:lpwstr>1</vt:lpwstr>
  </property>
</Properties>
</file>